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fileSharing readOnlyRecommended="1"/>
  <workbookPr filterPrivacy="1" defaultThemeVersion="124226"/>
  <xr:revisionPtr revIDLastSave="531" documentId="8_{1B3886BE-6C4B-4FC0-B048-684EA92B5435}" xr6:coauthVersionLast="47" xr6:coauthVersionMax="47" xr10:uidLastSave="{E41D8560-9410-45B9-88EC-90B4FFBEE069}"/>
  <bookViews>
    <workbookView xWindow="28680" yWindow="-120" windowWidth="25440" windowHeight="15390" xr2:uid="{00000000-000D-0000-FFFF-FFFF00000000}"/>
  </bookViews>
  <sheets>
    <sheet name="Budget 24-25 Monthly" sheetId="6" r:id="rId1"/>
    <sheet name="Budget 24-25 Summary" sheetId="7" r:id="rId2"/>
    <sheet name="Events 2019-2020" sheetId="3" state="hidden" r:id="rId3"/>
    <sheet name="CAPEX Budget" sheetId="11" r:id="rId4"/>
    <sheet name="Staff 24-25" sheetId="4" r:id="rId5"/>
    <sheet name="FY2021" sheetId="5" state="hidden" r:id="rId6"/>
    <sheet name="Year End 2021 FCast" sheetId="1" state="hidden" r:id="rId7"/>
  </sheets>
  <definedNames>
    <definedName name="_xlnm.Print_Area" localSheetId="0">'Budget 24-25 Monthly'!$B$1:$R$87</definedName>
    <definedName name="_xlnm.Print_Area" localSheetId="1">'Budget 24-25 Summary'!$B$1:$G$88</definedName>
    <definedName name="_xlnm.Print_Area" localSheetId="3">'CAPEX Budget'!$A$1:$N$21</definedName>
    <definedName name="_xlnm.Print_Area" localSheetId="2">'Events 2019-2020'!$A$1:$L$45</definedName>
    <definedName name="_xlnm.Print_Area" localSheetId="5">'FY2021'!$C$1:$F$124</definedName>
    <definedName name="_xlnm.Print_Area" localSheetId="6">'Year End 2021 FCast'!$C$1:$S$143</definedName>
    <definedName name="_xlnm.Print_Titles" localSheetId="0">'Budget 24-25 Monthly'!$3:$3</definedName>
    <definedName name="_xlnm.Print_Titles" localSheetId="1">'Budget 24-25 Summary'!$4:$4</definedName>
    <definedName name="_xlnm.Print_Titles" localSheetId="5">'FY2021'!$4:$4</definedName>
    <definedName name="_xlnm.Print_Titles" localSheetId="6">'Year End 2021 FCast'!$5:$5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7" l="1"/>
  <c r="E85" i="7"/>
  <c r="E83" i="7"/>
  <c r="D84" i="7"/>
  <c r="D85" i="7"/>
  <c r="D83" i="7"/>
  <c r="E73" i="7"/>
  <c r="E74" i="7"/>
  <c r="E75" i="7"/>
  <c r="E72" i="7"/>
  <c r="D73" i="7"/>
  <c r="D74" i="7"/>
  <c r="D75" i="7"/>
  <c r="D72" i="7"/>
  <c r="E64" i="7"/>
  <c r="E65" i="7"/>
  <c r="E66" i="7"/>
  <c r="E67" i="7"/>
  <c r="E68" i="7"/>
  <c r="E63" i="7"/>
  <c r="D64" i="7"/>
  <c r="D65" i="7"/>
  <c r="D66" i="7"/>
  <c r="D67" i="7"/>
  <c r="D69" i="7" s="1"/>
  <c r="D68" i="7"/>
  <c r="D63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45" i="7"/>
  <c r="E33" i="7"/>
  <c r="E34" i="7"/>
  <c r="E35" i="7"/>
  <c r="E36" i="7"/>
  <c r="E32" i="7"/>
  <c r="D33" i="7"/>
  <c r="D34" i="7"/>
  <c r="D35" i="7"/>
  <c r="D36" i="7"/>
  <c r="D32" i="7"/>
  <c r="E29" i="7"/>
  <c r="E30" i="7" s="1"/>
  <c r="E28" i="7"/>
  <c r="D29" i="7"/>
  <c r="D28" i="7"/>
  <c r="E21" i="7"/>
  <c r="E20" i="7"/>
  <c r="D21" i="7"/>
  <c r="D20" i="7"/>
  <c r="E17" i="7"/>
  <c r="E16" i="7"/>
  <c r="D17" i="7"/>
  <c r="D16" i="7"/>
  <c r="E13" i="7"/>
  <c r="E12" i="7"/>
  <c r="D13" i="7"/>
  <c r="D12" i="7"/>
  <c r="E8" i="7"/>
  <c r="E9" i="7"/>
  <c r="E7" i="7"/>
  <c r="D8" i="7"/>
  <c r="D9" i="7"/>
  <c r="D7" i="7"/>
  <c r="F86" i="7"/>
  <c r="D86" i="7"/>
  <c r="F80" i="7"/>
  <c r="F78" i="7"/>
  <c r="D76" i="7"/>
  <c r="F40" i="7"/>
  <c r="D30" i="7"/>
  <c r="F24" i="7"/>
  <c r="R87" i="6"/>
  <c r="Q87" i="6"/>
  <c r="P87" i="6"/>
  <c r="D87" i="6"/>
  <c r="Q85" i="6"/>
  <c r="P82" i="6"/>
  <c r="D85" i="6"/>
  <c r="Q79" i="6"/>
  <c r="P79" i="6"/>
  <c r="D79" i="6"/>
  <c r="R77" i="6"/>
  <c r="Q77" i="6"/>
  <c r="P77" i="6"/>
  <c r="O77" i="6"/>
  <c r="D77" i="6"/>
  <c r="D75" i="6"/>
  <c r="P62" i="6"/>
  <c r="P68" i="6" s="1"/>
  <c r="D68" i="6"/>
  <c r="Q59" i="6"/>
  <c r="P59" i="6"/>
  <c r="D59" i="6"/>
  <c r="R39" i="6"/>
  <c r="Q39" i="6"/>
  <c r="P39" i="6"/>
  <c r="D39" i="6"/>
  <c r="Q37" i="6"/>
  <c r="D37" i="6"/>
  <c r="P35" i="6"/>
  <c r="F36" i="7" s="1"/>
  <c r="P31" i="6"/>
  <c r="F32" i="7" s="1"/>
  <c r="Q36" i="6"/>
  <c r="D36" i="6"/>
  <c r="R29" i="6"/>
  <c r="P23" i="6"/>
  <c r="R23" i="6"/>
  <c r="Q23" i="6"/>
  <c r="D23" i="6"/>
  <c r="P17" i="6"/>
  <c r="P13" i="6"/>
  <c r="Q13" i="6"/>
  <c r="P66" i="6"/>
  <c r="E87" i="6"/>
  <c r="F87" i="6"/>
  <c r="G87" i="6"/>
  <c r="H87" i="6"/>
  <c r="I87" i="6"/>
  <c r="J87" i="6"/>
  <c r="K87" i="6"/>
  <c r="L87" i="6"/>
  <c r="M87" i="6"/>
  <c r="N87" i="6"/>
  <c r="O87" i="6"/>
  <c r="F64" i="7"/>
  <c r="F65" i="7"/>
  <c r="F66" i="7"/>
  <c r="F67" i="7"/>
  <c r="F68" i="7"/>
  <c r="F63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45" i="7"/>
  <c r="F60" i="7" s="1"/>
  <c r="F33" i="7"/>
  <c r="F34" i="7"/>
  <c r="F35" i="7"/>
  <c r="F21" i="7"/>
  <c r="E14" i="7"/>
  <c r="P5" i="4"/>
  <c r="R13" i="6"/>
  <c r="P12" i="6"/>
  <c r="P11" i="6"/>
  <c r="E13" i="6"/>
  <c r="F13" i="6"/>
  <c r="G13" i="6"/>
  <c r="H13" i="6"/>
  <c r="I13" i="6"/>
  <c r="J13" i="6"/>
  <c r="K13" i="6"/>
  <c r="L13" i="6"/>
  <c r="M13" i="6"/>
  <c r="N13" i="6"/>
  <c r="O13" i="6"/>
  <c r="D13" i="6"/>
  <c r="I6" i="4"/>
  <c r="J6" i="4"/>
  <c r="K6" i="4"/>
  <c r="L6" i="4"/>
  <c r="M6" i="4"/>
  <c r="N6" i="4"/>
  <c r="O6" i="4"/>
  <c r="E5" i="4"/>
  <c r="F5" i="4"/>
  <c r="G5" i="4"/>
  <c r="H5" i="4"/>
  <c r="I5" i="4"/>
  <c r="J5" i="4"/>
  <c r="K5" i="4"/>
  <c r="L5" i="4"/>
  <c r="M5" i="4"/>
  <c r="N5" i="4"/>
  <c r="O5" i="4"/>
  <c r="D5" i="4"/>
  <c r="C5" i="4"/>
  <c r="I4" i="4"/>
  <c r="J4" i="4"/>
  <c r="K4" i="4"/>
  <c r="L4" i="4"/>
  <c r="M4" i="4"/>
  <c r="N4" i="4"/>
  <c r="O4" i="4"/>
  <c r="E69" i="7" l="1"/>
  <c r="E60" i="7"/>
  <c r="D60" i="7"/>
  <c r="D78" i="7" s="1"/>
  <c r="E37" i="7"/>
  <c r="E38" i="7" s="1"/>
  <c r="D37" i="7"/>
  <c r="D38" i="7" s="1"/>
  <c r="D14" i="7"/>
  <c r="F37" i="7"/>
  <c r="C4" i="4"/>
  <c r="C6" i="4"/>
  <c r="D21" i="11" l="1"/>
  <c r="E21" i="11"/>
  <c r="F21" i="11"/>
  <c r="G21" i="11"/>
  <c r="H21" i="11"/>
  <c r="I21" i="11"/>
  <c r="J21" i="11"/>
  <c r="K21" i="11"/>
  <c r="L21" i="11"/>
  <c r="M21" i="11"/>
  <c r="C21" i="11"/>
  <c r="G6" i="4" l="1"/>
  <c r="D6" i="4" l="1"/>
  <c r="F6" i="4"/>
  <c r="E6" i="4"/>
  <c r="H6" i="4"/>
  <c r="D22" i="7"/>
  <c r="D18" i="7"/>
  <c r="D10" i="7"/>
  <c r="D24" i="7" l="1"/>
  <c r="D40" i="7" s="1"/>
  <c r="D80" i="7" s="1"/>
  <c r="D88" i="7" s="1"/>
  <c r="B21" i="11"/>
  <c r="R36" i="6" l="1"/>
  <c r="R37" i="6" l="1"/>
  <c r="Q29" i="6"/>
  <c r="E36" i="6"/>
  <c r="F36" i="6"/>
  <c r="G36" i="6"/>
  <c r="H36" i="6"/>
  <c r="I36" i="6"/>
  <c r="J36" i="6"/>
  <c r="K36" i="6"/>
  <c r="L36" i="6"/>
  <c r="M36" i="6"/>
  <c r="N36" i="6"/>
  <c r="O36" i="6"/>
  <c r="E10" i="7" l="1"/>
  <c r="E18" i="7"/>
  <c r="R85" i="6"/>
  <c r="R75" i="6"/>
  <c r="R68" i="6"/>
  <c r="R59" i="6"/>
  <c r="R21" i="6"/>
  <c r="R17" i="6"/>
  <c r="R9" i="6"/>
  <c r="E22" i="7"/>
  <c r="E24" i="7" l="1"/>
  <c r="E40" i="7" s="1"/>
  <c r="E86" i="7"/>
  <c r="E76" i="7"/>
  <c r="E78" i="7" s="1"/>
  <c r="E80" i="7" l="1"/>
  <c r="E88" i="7" s="1"/>
  <c r="Q75" i="6"/>
  <c r="Q68" i="6"/>
  <c r="Q21" i="6"/>
  <c r="Q17" i="6"/>
  <c r="Q9" i="6"/>
  <c r="D29" i="6" l="1"/>
  <c r="F29" i="6" l="1"/>
  <c r="F37" i="6" s="1"/>
  <c r="E29" i="6"/>
  <c r="E37" i="6" s="1"/>
  <c r="G29" i="6"/>
  <c r="G37" i="6" s="1"/>
  <c r="N29" i="6" l="1"/>
  <c r="N37" i="6" s="1"/>
  <c r="K29" i="6"/>
  <c r="K37" i="6" s="1"/>
  <c r="O29" i="6"/>
  <c r="O37" i="6" s="1"/>
  <c r="L29" i="6" l="1"/>
  <c r="L37" i="6" s="1"/>
  <c r="I29" i="6"/>
  <c r="I37" i="6" s="1"/>
  <c r="J29" i="6"/>
  <c r="J37" i="6" s="1"/>
  <c r="H29" i="6"/>
  <c r="H37" i="6" s="1"/>
  <c r="M29" i="6"/>
  <c r="M37" i="6" s="1"/>
  <c r="P84" i="6" l="1"/>
  <c r="P83" i="6"/>
  <c r="P73" i="6"/>
  <c r="P72" i="6"/>
  <c r="P67" i="6"/>
  <c r="P65" i="6"/>
  <c r="P64" i="6"/>
  <c r="P63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34" i="6"/>
  <c r="P33" i="6"/>
  <c r="P32" i="6"/>
  <c r="P28" i="6"/>
  <c r="P27" i="6"/>
  <c r="P20" i="6"/>
  <c r="P19" i="6"/>
  <c r="P16" i="6"/>
  <c r="F17" i="7" s="1"/>
  <c r="P15" i="6"/>
  <c r="F16" i="7" s="1"/>
  <c r="P7" i="6"/>
  <c r="F8" i="7" s="1"/>
  <c r="P8" i="6"/>
  <c r="P6" i="6"/>
  <c r="E85" i="6"/>
  <c r="F85" i="6"/>
  <c r="G85" i="6"/>
  <c r="H85" i="6"/>
  <c r="I85" i="6"/>
  <c r="J85" i="6"/>
  <c r="K85" i="6"/>
  <c r="L85" i="6"/>
  <c r="M85" i="6"/>
  <c r="N85" i="6"/>
  <c r="O85" i="6"/>
  <c r="E68" i="6"/>
  <c r="F68" i="6"/>
  <c r="G68" i="6"/>
  <c r="H68" i="6"/>
  <c r="I68" i="6"/>
  <c r="J68" i="6"/>
  <c r="K68" i="6"/>
  <c r="L68" i="6"/>
  <c r="M68" i="6"/>
  <c r="N68" i="6"/>
  <c r="O68" i="6"/>
  <c r="E59" i="6"/>
  <c r="F59" i="6"/>
  <c r="G59" i="6"/>
  <c r="H59" i="6"/>
  <c r="I59" i="6"/>
  <c r="J59" i="6"/>
  <c r="K59" i="6"/>
  <c r="L59" i="6"/>
  <c r="M59" i="6"/>
  <c r="N59" i="6"/>
  <c r="O59" i="6"/>
  <c r="D21" i="6"/>
  <c r="E21" i="6"/>
  <c r="F21" i="6"/>
  <c r="G21" i="6"/>
  <c r="H21" i="6"/>
  <c r="I21" i="6"/>
  <c r="J21" i="6"/>
  <c r="K21" i="6"/>
  <c r="L21" i="6"/>
  <c r="M21" i="6"/>
  <c r="N21" i="6"/>
  <c r="O21" i="6"/>
  <c r="D17" i="6"/>
  <c r="E17" i="6"/>
  <c r="F17" i="6"/>
  <c r="G17" i="6"/>
  <c r="H17" i="6"/>
  <c r="I17" i="6"/>
  <c r="J17" i="6"/>
  <c r="K17" i="6"/>
  <c r="L17" i="6"/>
  <c r="M17" i="6"/>
  <c r="N17" i="6"/>
  <c r="O17" i="6"/>
  <c r="D9" i="6"/>
  <c r="E9" i="6"/>
  <c r="F9" i="6"/>
  <c r="G9" i="6"/>
  <c r="H9" i="6"/>
  <c r="I9" i="6"/>
  <c r="J9" i="6"/>
  <c r="K9" i="6"/>
  <c r="L9" i="6"/>
  <c r="M9" i="6"/>
  <c r="N9" i="6"/>
  <c r="O9" i="6"/>
  <c r="E109" i="5"/>
  <c r="E59" i="5"/>
  <c r="E34" i="5"/>
  <c r="E121" i="5"/>
  <c r="F121" i="5"/>
  <c r="F109" i="5"/>
  <c r="F100" i="5"/>
  <c r="F92" i="5"/>
  <c r="F66" i="5"/>
  <c r="F59" i="5"/>
  <c r="F51" i="5"/>
  <c r="F34" i="5"/>
  <c r="F28" i="5"/>
  <c r="F21" i="5"/>
  <c r="F22" i="5"/>
  <c r="F14" i="5"/>
  <c r="O44" i="1"/>
  <c r="P100" i="1"/>
  <c r="P96" i="1"/>
  <c r="P90" i="1"/>
  <c r="P80" i="1"/>
  <c r="P79" i="1"/>
  <c r="P78" i="1"/>
  <c r="P77" i="1"/>
  <c r="P47" i="1"/>
  <c r="P10" i="1"/>
  <c r="J10" i="1"/>
  <c r="N109" i="1"/>
  <c r="O55" i="1"/>
  <c r="F68" i="5"/>
  <c r="F111" i="5"/>
  <c r="E22" i="5"/>
  <c r="E66" i="5"/>
  <c r="E92" i="5"/>
  <c r="E51" i="5"/>
  <c r="E100" i="5"/>
  <c r="E28" i="5"/>
  <c r="E14" i="5"/>
  <c r="F36" i="5"/>
  <c r="P65" i="1"/>
  <c r="P66" i="1"/>
  <c r="O77" i="1"/>
  <c r="O78" i="1"/>
  <c r="P50" i="1"/>
  <c r="P22" i="1"/>
  <c r="P58" i="1"/>
  <c r="M142" i="1"/>
  <c r="P43" i="1"/>
  <c r="K137" i="1"/>
  <c r="K142" i="1"/>
  <c r="F70" i="5"/>
  <c r="F113" i="5"/>
  <c r="F123" i="5"/>
  <c r="E36" i="5"/>
  <c r="E68" i="5"/>
  <c r="E111" i="5"/>
  <c r="E70" i="5"/>
  <c r="E113" i="5"/>
  <c r="E123" i="5"/>
  <c r="L62" i="1"/>
  <c r="O130" i="1"/>
  <c r="L137" i="1"/>
  <c r="L26" i="1"/>
  <c r="L64" i="1"/>
  <c r="J109" i="1"/>
  <c r="O20" i="1"/>
  <c r="B8" i="4"/>
  <c r="H44" i="3"/>
  <c r="G44" i="3"/>
  <c r="J44" i="3"/>
  <c r="F44" i="3"/>
  <c r="E44" i="3"/>
  <c r="J41" i="3"/>
  <c r="D41" i="3"/>
  <c r="L41" i="3"/>
  <c r="J40" i="3"/>
  <c r="L40" i="3"/>
  <c r="D40" i="3"/>
  <c r="J39" i="3"/>
  <c r="D39" i="3"/>
  <c r="L39" i="3"/>
  <c r="L38" i="3"/>
  <c r="J38" i="3"/>
  <c r="D38" i="3"/>
  <c r="L37" i="3"/>
  <c r="J37" i="3"/>
  <c r="D37" i="3"/>
  <c r="J36" i="3"/>
  <c r="D36" i="3"/>
  <c r="L36" i="3"/>
  <c r="J35" i="3"/>
  <c r="D35" i="3"/>
  <c r="L35" i="3"/>
  <c r="J32" i="3"/>
  <c r="D32" i="3"/>
  <c r="L32" i="3"/>
  <c r="J31" i="3"/>
  <c r="D31" i="3"/>
  <c r="L31" i="3"/>
  <c r="J30" i="3"/>
  <c r="L30" i="3"/>
  <c r="D30" i="3"/>
  <c r="J29" i="3"/>
  <c r="D29" i="3"/>
  <c r="L29" i="3"/>
  <c r="L26" i="3"/>
  <c r="J26" i="3"/>
  <c r="D26" i="3"/>
  <c r="L25" i="3"/>
  <c r="J25" i="3"/>
  <c r="D25" i="3"/>
  <c r="J24" i="3"/>
  <c r="D24" i="3"/>
  <c r="L24" i="3"/>
  <c r="J23" i="3"/>
  <c r="D23" i="3"/>
  <c r="L23" i="3"/>
  <c r="J22" i="3"/>
  <c r="D22" i="3"/>
  <c r="L22" i="3"/>
  <c r="J21" i="3"/>
  <c r="D21" i="3"/>
  <c r="L21" i="3"/>
  <c r="J20" i="3"/>
  <c r="L20" i="3"/>
  <c r="D20" i="3"/>
  <c r="J19" i="3"/>
  <c r="D19" i="3"/>
  <c r="L19" i="3"/>
  <c r="L18" i="3"/>
  <c r="J18" i="3"/>
  <c r="D18" i="3"/>
  <c r="L17" i="3"/>
  <c r="J17" i="3"/>
  <c r="D17" i="3"/>
  <c r="J16" i="3"/>
  <c r="D16" i="3"/>
  <c r="L16" i="3"/>
  <c r="J13" i="3"/>
  <c r="D13" i="3"/>
  <c r="L13" i="3"/>
  <c r="J12" i="3"/>
  <c r="D12" i="3"/>
  <c r="L12" i="3"/>
  <c r="J11" i="3"/>
  <c r="D11" i="3"/>
  <c r="L11" i="3"/>
  <c r="J10" i="3"/>
  <c r="L10" i="3"/>
  <c r="D10" i="3"/>
  <c r="J9" i="3"/>
  <c r="D9" i="3"/>
  <c r="L9" i="3"/>
  <c r="L8" i="3"/>
  <c r="J8" i="3"/>
  <c r="D8" i="3"/>
  <c r="L7" i="3"/>
  <c r="J7" i="3"/>
  <c r="D7" i="3"/>
  <c r="J6" i="3"/>
  <c r="D6" i="3"/>
  <c r="L6" i="3"/>
  <c r="J5" i="3"/>
  <c r="D5" i="3"/>
  <c r="L5" i="3"/>
  <c r="J4" i="3"/>
  <c r="D4" i="3"/>
  <c r="L4" i="3"/>
  <c r="R122" i="1"/>
  <c r="P121" i="1"/>
  <c r="O122" i="1"/>
  <c r="N122" i="1"/>
  <c r="M122" i="1"/>
  <c r="L122" i="1"/>
  <c r="K122" i="1"/>
  <c r="I122" i="1"/>
  <c r="H122" i="1"/>
  <c r="G122" i="1"/>
  <c r="F122" i="1"/>
  <c r="E122" i="1"/>
  <c r="D122" i="1"/>
  <c r="S122" i="1"/>
  <c r="P87" i="1"/>
  <c r="P57" i="1"/>
  <c r="D23" i="1"/>
  <c r="E23" i="1"/>
  <c r="F23" i="1"/>
  <c r="G23" i="1"/>
  <c r="H23" i="1"/>
  <c r="I23" i="1"/>
  <c r="J23" i="1"/>
  <c r="K23" i="1"/>
  <c r="L23" i="1"/>
  <c r="M23" i="1"/>
  <c r="N23" i="1"/>
  <c r="O23" i="1"/>
  <c r="R23" i="1"/>
  <c r="D44" i="3"/>
  <c r="L44" i="3"/>
  <c r="S22" i="1"/>
  <c r="S23" i="1"/>
  <c r="S110" i="1"/>
  <c r="S101" i="1"/>
  <c r="S93" i="1"/>
  <c r="S67" i="1"/>
  <c r="S60" i="1"/>
  <c r="S52" i="1"/>
  <c r="S35" i="1"/>
  <c r="S29" i="1"/>
  <c r="S15" i="1"/>
  <c r="S69" i="1"/>
  <c r="S112" i="1"/>
  <c r="S37" i="1"/>
  <c r="S71" i="1"/>
  <c r="S114" i="1"/>
  <c r="S124" i="1"/>
  <c r="P109" i="1"/>
  <c r="P108" i="1"/>
  <c r="P107" i="1"/>
  <c r="P106" i="1"/>
  <c r="P105" i="1"/>
  <c r="P104" i="1"/>
  <c r="P99" i="1"/>
  <c r="P98" i="1"/>
  <c r="P97" i="1"/>
  <c r="P92" i="1"/>
  <c r="P91" i="1"/>
  <c r="P89" i="1"/>
  <c r="P88" i="1"/>
  <c r="P86" i="1"/>
  <c r="P85" i="1"/>
  <c r="P84" i="1"/>
  <c r="P83" i="1"/>
  <c r="P82" i="1"/>
  <c r="P81" i="1"/>
  <c r="P76" i="1"/>
  <c r="P64" i="1"/>
  <c r="P63" i="1"/>
  <c r="P62" i="1"/>
  <c r="P67" i="1"/>
  <c r="P59" i="1"/>
  <c r="P56" i="1"/>
  <c r="P54" i="1"/>
  <c r="P51" i="1"/>
  <c r="P49" i="1"/>
  <c r="P55" i="1"/>
  <c r="P48" i="1"/>
  <c r="P46" i="1"/>
  <c r="P52" i="1"/>
  <c r="P45" i="1"/>
  <c r="P44" i="1"/>
  <c r="P42" i="1"/>
  <c r="P41" i="1"/>
  <c r="P34" i="1"/>
  <c r="P33" i="1"/>
  <c r="P32" i="1"/>
  <c r="P31" i="1"/>
  <c r="P35" i="1"/>
  <c r="P28" i="1"/>
  <c r="P27" i="1"/>
  <c r="P26" i="1"/>
  <c r="P25" i="1"/>
  <c r="P29" i="1"/>
  <c r="P21" i="1"/>
  <c r="P20" i="1"/>
  <c r="P19" i="1"/>
  <c r="P18" i="1"/>
  <c r="P17" i="1"/>
  <c r="P14" i="1"/>
  <c r="P13" i="1"/>
  <c r="P12" i="1"/>
  <c r="P9" i="1"/>
  <c r="P8" i="1"/>
  <c r="P118" i="1"/>
  <c r="P119" i="1"/>
  <c r="P120" i="1"/>
  <c r="P117" i="1"/>
  <c r="K15" i="1"/>
  <c r="L15" i="1"/>
  <c r="M15" i="1"/>
  <c r="N15" i="1"/>
  <c r="O15" i="1"/>
  <c r="K29" i="1"/>
  <c r="L29" i="1"/>
  <c r="M29" i="1"/>
  <c r="N29" i="1"/>
  <c r="O29" i="1"/>
  <c r="K35" i="1"/>
  <c r="L35" i="1"/>
  <c r="M35" i="1"/>
  <c r="N35" i="1"/>
  <c r="O35" i="1"/>
  <c r="K52" i="1"/>
  <c r="L52" i="1"/>
  <c r="M52" i="1"/>
  <c r="N52" i="1"/>
  <c r="O52" i="1"/>
  <c r="K60" i="1"/>
  <c r="L60" i="1"/>
  <c r="M60" i="1"/>
  <c r="N60" i="1"/>
  <c r="O60" i="1"/>
  <c r="K67" i="1"/>
  <c r="L67" i="1"/>
  <c r="M67" i="1"/>
  <c r="N67" i="1"/>
  <c r="O67" i="1"/>
  <c r="K93" i="1"/>
  <c r="L93" i="1"/>
  <c r="M93" i="1"/>
  <c r="N93" i="1"/>
  <c r="O93" i="1"/>
  <c r="K101" i="1"/>
  <c r="L101" i="1"/>
  <c r="M101" i="1"/>
  <c r="N101" i="1"/>
  <c r="O101" i="1"/>
  <c r="K110" i="1"/>
  <c r="L110" i="1"/>
  <c r="M110" i="1"/>
  <c r="N110" i="1"/>
  <c r="O110" i="1"/>
  <c r="J122" i="1"/>
  <c r="D110" i="1"/>
  <c r="E110" i="1"/>
  <c r="F110" i="1"/>
  <c r="G110" i="1"/>
  <c r="H110" i="1"/>
  <c r="I110" i="1"/>
  <c r="R110" i="1"/>
  <c r="D101" i="1"/>
  <c r="E101" i="1"/>
  <c r="F101" i="1"/>
  <c r="G101" i="1"/>
  <c r="H101" i="1"/>
  <c r="I101" i="1"/>
  <c r="R101" i="1"/>
  <c r="J101" i="1"/>
  <c r="D93" i="1"/>
  <c r="E93" i="1"/>
  <c r="F93" i="1"/>
  <c r="G93" i="1"/>
  <c r="H93" i="1"/>
  <c r="I93" i="1"/>
  <c r="R93" i="1"/>
  <c r="J93" i="1"/>
  <c r="D67" i="1"/>
  <c r="E67" i="1"/>
  <c r="F67" i="1"/>
  <c r="G67" i="1"/>
  <c r="H67" i="1"/>
  <c r="I67" i="1"/>
  <c r="R67" i="1"/>
  <c r="J67" i="1"/>
  <c r="D60" i="1"/>
  <c r="E60" i="1"/>
  <c r="F60" i="1"/>
  <c r="G60" i="1"/>
  <c r="H60" i="1"/>
  <c r="I60" i="1"/>
  <c r="R60" i="1"/>
  <c r="J60" i="1"/>
  <c r="D52" i="1"/>
  <c r="E52" i="1"/>
  <c r="F52" i="1"/>
  <c r="G52" i="1"/>
  <c r="H52" i="1"/>
  <c r="I52" i="1"/>
  <c r="R52" i="1"/>
  <c r="J52" i="1"/>
  <c r="D35" i="1"/>
  <c r="E35" i="1"/>
  <c r="F35" i="1"/>
  <c r="G35" i="1"/>
  <c r="H35" i="1"/>
  <c r="I35" i="1"/>
  <c r="R35" i="1"/>
  <c r="J35" i="1"/>
  <c r="D29" i="1"/>
  <c r="E29" i="1"/>
  <c r="F29" i="1"/>
  <c r="G29" i="1"/>
  <c r="H29" i="1"/>
  <c r="I29" i="1"/>
  <c r="R29" i="1"/>
  <c r="J29" i="1"/>
  <c r="D15" i="1"/>
  <c r="E15" i="1"/>
  <c r="E37" i="1"/>
  <c r="F15" i="1"/>
  <c r="G15" i="1"/>
  <c r="H15" i="1"/>
  <c r="H37" i="1"/>
  <c r="I15" i="1"/>
  <c r="R15" i="1"/>
  <c r="J15" i="1"/>
  <c r="P15" i="1"/>
  <c r="P93" i="1"/>
  <c r="P23" i="1"/>
  <c r="P37" i="1"/>
  <c r="P101" i="1"/>
  <c r="J37" i="1"/>
  <c r="L69" i="1"/>
  <c r="G69" i="1"/>
  <c r="H69" i="1"/>
  <c r="H71" i="1"/>
  <c r="K69" i="1"/>
  <c r="I69" i="1"/>
  <c r="F112" i="1"/>
  <c r="F69" i="1"/>
  <c r="E69" i="1"/>
  <c r="E71" i="1"/>
  <c r="D112" i="1"/>
  <c r="D69" i="1"/>
  <c r="O69" i="1"/>
  <c r="J69" i="1"/>
  <c r="N69" i="1"/>
  <c r="R69" i="1"/>
  <c r="I112" i="1"/>
  <c r="M69" i="1"/>
  <c r="E112" i="1"/>
  <c r="G112" i="1"/>
  <c r="L112" i="1"/>
  <c r="N112" i="1"/>
  <c r="H112" i="1"/>
  <c r="M112" i="1"/>
  <c r="K112" i="1"/>
  <c r="R112" i="1"/>
  <c r="O112" i="1"/>
  <c r="D37" i="1"/>
  <c r="F37" i="1"/>
  <c r="P122" i="1"/>
  <c r="N37" i="1"/>
  <c r="J110" i="1"/>
  <c r="P60" i="1"/>
  <c r="M37" i="1"/>
  <c r="O37" i="1"/>
  <c r="L37" i="1"/>
  <c r="K37" i="1"/>
  <c r="I37" i="1"/>
  <c r="G37" i="1"/>
  <c r="R37" i="1"/>
  <c r="J71" i="1"/>
  <c r="R71" i="1"/>
  <c r="R114" i="1"/>
  <c r="R124" i="1"/>
  <c r="O71" i="1"/>
  <c r="O114" i="1"/>
  <c r="O124" i="1"/>
  <c r="G71" i="1"/>
  <c r="G114" i="1"/>
  <c r="G124" i="1"/>
  <c r="N71" i="1"/>
  <c r="N114" i="1"/>
  <c r="N124" i="1"/>
  <c r="M71" i="1"/>
  <c r="L71" i="1"/>
  <c r="L114" i="1"/>
  <c r="L124" i="1"/>
  <c r="P69" i="1"/>
  <c r="K71" i="1"/>
  <c r="K114" i="1"/>
  <c r="K124" i="1"/>
  <c r="E114" i="1"/>
  <c r="E124" i="1"/>
  <c r="H114" i="1"/>
  <c r="H124" i="1"/>
  <c r="F71" i="1"/>
  <c r="F114" i="1"/>
  <c r="F124" i="1"/>
  <c r="D71" i="1"/>
  <c r="D114" i="1"/>
  <c r="D124" i="1"/>
  <c r="I71" i="1"/>
  <c r="I114" i="1"/>
  <c r="I124" i="1"/>
  <c r="P110" i="1"/>
  <c r="P112" i="1"/>
  <c r="J112" i="1"/>
  <c r="M114" i="1"/>
  <c r="J114" i="1"/>
  <c r="P71" i="1"/>
  <c r="P114" i="1"/>
  <c r="P124" i="1"/>
  <c r="M124" i="1"/>
  <c r="J124" i="1"/>
  <c r="P9" i="6" l="1"/>
  <c r="L23" i="6"/>
  <c r="L39" i="6" s="1"/>
  <c r="H23" i="6"/>
  <c r="H39" i="6" s="1"/>
  <c r="O23" i="6"/>
  <c r="O39" i="6" s="1"/>
  <c r="K23" i="6"/>
  <c r="K39" i="6" s="1"/>
  <c r="G23" i="6"/>
  <c r="G39" i="6" s="1"/>
  <c r="N23" i="6"/>
  <c r="N39" i="6" s="1"/>
  <c r="J23" i="6"/>
  <c r="J39" i="6" s="1"/>
  <c r="F23" i="6"/>
  <c r="F39" i="6" s="1"/>
  <c r="M23" i="6"/>
  <c r="M39" i="6" s="1"/>
  <c r="I23" i="6"/>
  <c r="I39" i="6" s="1"/>
  <c r="E23" i="6"/>
  <c r="D71" i="6"/>
  <c r="F13" i="7"/>
  <c r="F85" i="7"/>
  <c r="F20" i="7"/>
  <c r="F73" i="7"/>
  <c r="F29" i="7"/>
  <c r="F74" i="7"/>
  <c r="F84" i="7"/>
  <c r="F83" i="7"/>
  <c r="F12" i="7"/>
  <c r="F28" i="7"/>
  <c r="F9" i="7"/>
  <c r="P85" i="6"/>
  <c r="P36" i="6"/>
  <c r="P29" i="6"/>
  <c r="F7" i="7"/>
  <c r="E4" i="4"/>
  <c r="F71" i="6" s="1"/>
  <c r="F4" i="4"/>
  <c r="D4" i="4"/>
  <c r="E71" i="6" s="1"/>
  <c r="C8" i="4"/>
  <c r="G4" i="4"/>
  <c r="H4" i="4"/>
  <c r="M71" i="6"/>
  <c r="L71" i="6"/>
  <c r="P21" i="6"/>
  <c r="F14" i="7" l="1"/>
  <c r="F30" i="7"/>
  <c r="F38" i="7" s="1"/>
  <c r="P37" i="6"/>
  <c r="I71" i="6"/>
  <c r="G71" i="6"/>
  <c r="K71" i="6"/>
  <c r="N71" i="6"/>
  <c r="J71" i="6"/>
  <c r="H71" i="6"/>
  <c r="F22" i="7"/>
  <c r="F10" i="7"/>
  <c r="F69" i="7"/>
  <c r="F18" i="7"/>
  <c r="E8" i="4"/>
  <c r="F8" i="4"/>
  <c r="I8" i="4"/>
  <c r="P6" i="4"/>
  <c r="D8" i="4"/>
  <c r="G8" i="4"/>
  <c r="J8" i="4"/>
  <c r="K8" i="4"/>
  <c r="L8" i="4"/>
  <c r="O71" i="6"/>
  <c r="H8" i="4"/>
  <c r="M8" i="4"/>
  <c r="F88" i="7" l="1"/>
  <c r="G74" i="6"/>
  <c r="I74" i="6"/>
  <c r="M74" i="6"/>
  <c r="L74" i="6"/>
  <c r="H74" i="6"/>
  <c r="H75" i="6" s="1"/>
  <c r="H77" i="6" s="1"/>
  <c r="K74" i="6"/>
  <c r="D74" i="6"/>
  <c r="J74" i="6"/>
  <c r="F74" i="6"/>
  <c r="E74" i="6"/>
  <c r="P4" i="4"/>
  <c r="P8" i="4" s="1"/>
  <c r="N8" i="4"/>
  <c r="O8" i="4"/>
  <c r="O74" i="6" l="1"/>
  <c r="E75" i="6"/>
  <c r="E77" i="6" s="1"/>
  <c r="J75" i="6"/>
  <c r="J77" i="6" s="1"/>
  <c r="K75" i="6"/>
  <c r="K77" i="6" s="1"/>
  <c r="L75" i="6"/>
  <c r="L77" i="6" s="1"/>
  <c r="I75" i="6"/>
  <c r="I77" i="6" s="1"/>
  <c r="N74" i="6"/>
  <c r="P71" i="6"/>
  <c r="F75" i="6"/>
  <c r="F77" i="6" s="1"/>
  <c r="M75" i="6"/>
  <c r="M77" i="6" s="1"/>
  <c r="G75" i="6"/>
  <c r="G77" i="6" s="1"/>
  <c r="F72" i="7" l="1"/>
  <c r="N75" i="6"/>
  <c r="N77" i="6" s="1"/>
  <c r="P74" i="6"/>
  <c r="O75" i="6"/>
  <c r="R79" i="6"/>
  <c r="O79" i="6" l="1"/>
  <c r="F75" i="7"/>
  <c r="F76" i="7" s="1"/>
  <c r="P75" i="6"/>
  <c r="F79" i="6" l="1"/>
  <c r="N79" i="6"/>
  <c r="H79" i="6"/>
  <c r="M79" i="6"/>
  <c r="E39" i="6"/>
  <c r="E79" i="6" s="1"/>
  <c r="G79" i="6"/>
  <c r="K79" i="6"/>
  <c r="L79" i="6"/>
  <c r="J79" i="6"/>
  <c r="I7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tc={EC575646-220D-4E4D-92C0-02B7710A303E}</author>
  </authors>
  <commentList>
    <comment ref="O20" authorId="0" shapeId="0" xr:uid="{EC575646-220D-4E4D-92C0-02B7710A303E}">
      <text>
        <t>[Threaded comment]
Your version of Excel allows you to read this threaded comment; however, any edits to it will get removed if the file is opened in a newer version of Excel. Learn more: https://go.microsoft.com/fwlink/?linkid=870924
Comment:
    Rawhiti Admin fee - 3 Years @ $9,600 per annum plus Club Support Manager grant of $30K per year</t>
      </text>
    </comment>
  </commentList>
</comments>
</file>

<file path=xl/sharedStrings.xml><?xml version="1.0" encoding="utf-8"?>
<sst xmlns="http://schemas.openxmlformats.org/spreadsheetml/2006/main" count="581" uniqueCount="246">
  <si>
    <t>Profit and Loss</t>
  </si>
  <si>
    <t>Auckland Bowls Incorporated</t>
  </si>
  <si>
    <t>Account</t>
  </si>
  <si>
    <t>Trading Income</t>
  </si>
  <si>
    <t xml:space="preserve">Centre / Event Income </t>
  </si>
  <si>
    <t>Club Levies</t>
  </si>
  <si>
    <t>External Contracts</t>
  </si>
  <si>
    <t>Centre Events</t>
  </si>
  <si>
    <t>Presidents Day Income</t>
  </si>
  <si>
    <t>Bowls NZ Summer of Bowls</t>
  </si>
  <si>
    <t>Youth Bowls Income</t>
  </si>
  <si>
    <t>Total Centre / Event Income</t>
  </si>
  <si>
    <t>Sponsorship / Grants Income</t>
  </si>
  <si>
    <t>BWCT</t>
  </si>
  <si>
    <t>Sponsorship - General</t>
  </si>
  <si>
    <t>Kimberley Grant</t>
  </si>
  <si>
    <t>Other Grants</t>
  </si>
  <si>
    <t>MSD Wage Subsidy Income</t>
  </si>
  <si>
    <t>Total Sponsorship / Grants Income</t>
  </si>
  <si>
    <t>Rawhiti Grants Received</t>
  </si>
  <si>
    <t>Rawhiti Marketing Grant</t>
  </si>
  <si>
    <t>Rawhiti Club Development inc</t>
  </si>
  <si>
    <t>Rawhiti Fund Income - Coaching Academy</t>
  </si>
  <si>
    <t>Total Rawhiti Grants Received</t>
  </si>
  <si>
    <t>Interest Received</t>
  </si>
  <si>
    <t>ASB - Term Deposit Interest</t>
  </si>
  <si>
    <t>Business Saver Interest</t>
  </si>
  <si>
    <t>Heartland Interest</t>
  </si>
  <si>
    <t>Sundry Interest</t>
  </si>
  <si>
    <t>Total Interest Received</t>
  </si>
  <si>
    <t>Total Trading Income</t>
  </si>
  <si>
    <t>Operating Costs</t>
  </si>
  <si>
    <t>Awards Function Expenses</t>
  </si>
  <si>
    <t>Bowls NZ Fees</t>
  </si>
  <si>
    <t xml:space="preserve">Prize Money </t>
  </si>
  <si>
    <t>Green Hire</t>
  </si>
  <si>
    <t>Live Streaming Centre Events</t>
  </si>
  <si>
    <t>Umpires/Markers</t>
  </si>
  <si>
    <t>Presidents Day Costs</t>
  </si>
  <si>
    <t>Trophies/Badges</t>
  </si>
  <si>
    <t>Youth Bowls Costs</t>
  </si>
  <si>
    <t>Total Centre Events</t>
  </si>
  <si>
    <t>High Performance Costs</t>
  </si>
  <si>
    <t xml:space="preserve">HP Hospitality </t>
  </si>
  <si>
    <t>Uniforms</t>
  </si>
  <si>
    <t>Coaching Academy</t>
  </si>
  <si>
    <t>Programme Costs</t>
  </si>
  <si>
    <t>Total High Performance Costs</t>
  </si>
  <si>
    <t>Rawhiti Club Development &amp; Support Costs</t>
  </si>
  <si>
    <t>Facility Enhancement Projects</t>
  </si>
  <si>
    <t>Rawhiti Fund Expenses</t>
  </si>
  <si>
    <t>Rawhiti Club Development Expense</t>
  </si>
  <si>
    <t>Rawhiti Club Wages</t>
  </si>
  <si>
    <t>Total Operating Costs</t>
  </si>
  <si>
    <t>Gross Profit</t>
  </si>
  <si>
    <t>Operating Expenses</t>
  </si>
  <si>
    <t>Administration Costs</t>
  </si>
  <si>
    <t>ACC Levy</t>
  </si>
  <si>
    <t>Advertising &amp; Promotions</t>
  </si>
  <si>
    <t>Audit &amp; Accounting Fees</t>
  </si>
  <si>
    <t>Bank Charges</t>
  </si>
  <si>
    <t>Board Expenses</t>
  </si>
  <si>
    <t>Computer Expenses</t>
  </si>
  <si>
    <t>Consultancy</t>
  </si>
  <si>
    <t>Copier Lease</t>
  </si>
  <si>
    <t>General Expenses</t>
  </si>
  <si>
    <t>Hospitality - General</t>
  </si>
  <si>
    <t>Insurance</t>
  </si>
  <si>
    <t>Legal Fees</t>
  </si>
  <si>
    <t>Motor Vehicle Expenses</t>
  </si>
  <si>
    <t xml:space="preserve">Printing </t>
  </si>
  <si>
    <t>Stationery &amp; Postage</t>
  </si>
  <si>
    <t>Travel &amp; Accom (Not HP)</t>
  </si>
  <si>
    <t>Total Administration Costs</t>
  </si>
  <si>
    <t>Occupancy Costs</t>
  </si>
  <si>
    <t>Electricity</t>
  </si>
  <si>
    <t>Office Cleaning</t>
  </si>
  <si>
    <t>Rent - Mt Eden Bowling Club</t>
  </si>
  <si>
    <t>Repairs &amp; Maintenance</t>
  </si>
  <si>
    <t>Telephone &amp; Internet</t>
  </si>
  <si>
    <t>Total Occupancy Costs</t>
  </si>
  <si>
    <t>Staff Costs</t>
  </si>
  <si>
    <t>Kiwisaver Employer Contributions</t>
  </si>
  <si>
    <t>Non Taxable Wages</t>
  </si>
  <si>
    <t>Staff Training &amp; Recruitment</t>
  </si>
  <si>
    <t>Staff Welfare</t>
  </si>
  <si>
    <t>Wages &amp; Salaries</t>
  </si>
  <si>
    <t>Total Staff Costs</t>
  </si>
  <si>
    <t xml:space="preserve">Non Operating </t>
  </si>
  <si>
    <t>Kimberley Fund Interest</t>
  </si>
  <si>
    <t>Kimberley Expenses</t>
  </si>
  <si>
    <t>Depreciation: Equipment</t>
  </si>
  <si>
    <t xml:space="preserve">Depreciation: Motor Vehicles </t>
  </si>
  <si>
    <t>Total Non Operating</t>
  </si>
  <si>
    <t>Sub contractors</t>
  </si>
  <si>
    <t>Net Profit</t>
  </si>
  <si>
    <t xml:space="preserve">Year End 2021 Forecast </t>
  </si>
  <si>
    <t>FY 2020</t>
  </si>
  <si>
    <t>Rawhiti Fund Income - Capital Project</t>
  </si>
  <si>
    <t>Sundry Income</t>
  </si>
  <si>
    <t>Awards Function Income</t>
  </si>
  <si>
    <t>Regional Centre Expenses</t>
  </si>
  <si>
    <t>IRD Penalties</t>
  </si>
  <si>
    <t>Bowls3Five</t>
  </si>
  <si>
    <t>Interclub</t>
  </si>
  <si>
    <t>Fours</t>
  </si>
  <si>
    <t>Triples</t>
  </si>
  <si>
    <t>Pairs</t>
  </si>
  <si>
    <t>Women's Singles</t>
  </si>
  <si>
    <t>Men's Singles</t>
  </si>
  <si>
    <t>1-5 Year</t>
  </si>
  <si>
    <t>Bowls3Five Interclub</t>
  </si>
  <si>
    <t>Saturday 6's Interclub</t>
  </si>
  <si>
    <t>Winter Interclub</t>
  </si>
  <si>
    <t>Mixed Pairs</t>
  </si>
  <si>
    <t>Mixed</t>
  </si>
  <si>
    <t>Women's Premier Singles</t>
  </si>
  <si>
    <t>Saturday Interclub</t>
  </si>
  <si>
    <t>Sevens Interclub</t>
  </si>
  <si>
    <t>Champ of Champs Fours</t>
  </si>
  <si>
    <t>Champ of Champs Triples</t>
  </si>
  <si>
    <t>Champ of Champs Pairs</t>
  </si>
  <si>
    <t>Champ of Champs Singles</t>
  </si>
  <si>
    <t>Open Fours</t>
  </si>
  <si>
    <t>Open Triples</t>
  </si>
  <si>
    <t>Open Pairs</t>
  </si>
  <si>
    <t>Open Singles</t>
  </si>
  <si>
    <t>Women</t>
  </si>
  <si>
    <t>Men</t>
  </si>
  <si>
    <t>Umpires</t>
  </si>
  <si>
    <t>Greens</t>
  </si>
  <si>
    <t>Prizes</t>
  </si>
  <si>
    <t>Profit/Loss</t>
  </si>
  <si>
    <t>Total Expenditure</t>
  </si>
  <si>
    <t>Expenditure</t>
  </si>
  <si>
    <t>Income</t>
  </si>
  <si>
    <t>Cost per Team</t>
  </si>
  <si>
    <t>Entries</t>
  </si>
  <si>
    <t>2019-2020</t>
  </si>
  <si>
    <t>Total</t>
  </si>
  <si>
    <t>Position</t>
  </si>
  <si>
    <t>Annual Salary</t>
  </si>
  <si>
    <t>Monthly Salary</t>
  </si>
  <si>
    <t>Totals</t>
  </si>
  <si>
    <t>2021            Budget</t>
  </si>
  <si>
    <t>Regional Subsidy (Travel/Accom)</t>
  </si>
  <si>
    <t>Notes</t>
  </si>
  <si>
    <t>Rawhiti Trust - Admin Fees</t>
  </si>
  <si>
    <t>Rawhiti Trust - Club Support Manager Subsidy</t>
  </si>
  <si>
    <t>Rawhiti Grants</t>
  </si>
  <si>
    <t>CDA - Bridge Park</t>
  </si>
  <si>
    <t>CDA - Royal Oak</t>
  </si>
  <si>
    <t>CDA - Glendowie</t>
  </si>
  <si>
    <t>CDA - Titirangi</t>
  </si>
  <si>
    <t>Facilities Enhancement Grant - MT Albert</t>
  </si>
  <si>
    <t>Facilities Enhancement Grant - Glen Eden</t>
  </si>
  <si>
    <t>Total Operating Profit</t>
  </si>
  <si>
    <t>Actual</t>
  </si>
  <si>
    <t>Prior Month Y/End Forecast</t>
  </si>
  <si>
    <t>Coach Expenses</t>
  </si>
  <si>
    <t>Total Rawhiti Club Development Costs</t>
  </si>
  <si>
    <t>Commission Fees</t>
  </si>
  <si>
    <t>Facilities Enhancement Grant - RSA Titirangi</t>
  </si>
  <si>
    <t>Prior Period Adjustment</t>
  </si>
  <si>
    <t>Year End Actual</t>
  </si>
  <si>
    <t>As At April 2021</t>
  </si>
  <si>
    <t>FY2021</t>
  </si>
  <si>
    <t>Report Categories</t>
  </si>
  <si>
    <t>Interest &amp; Dividends</t>
  </si>
  <si>
    <t>Grants &amp; Sponsorship</t>
  </si>
  <si>
    <t>Govt Subsidy</t>
  </si>
  <si>
    <t>Sundry Costs</t>
  </si>
  <si>
    <t>Rawhiti Club Developments Costs</t>
  </si>
  <si>
    <t>Stationery, Printing &amp; Postage</t>
  </si>
  <si>
    <t>Occupancy</t>
  </si>
  <si>
    <t xml:space="preserve">General Administration </t>
  </si>
  <si>
    <t>Depreciation</t>
  </si>
  <si>
    <t>Kimberley Interest (Net of Fees)</t>
  </si>
  <si>
    <t>Budget</t>
  </si>
  <si>
    <t>Comments</t>
  </si>
  <si>
    <t>2024 Budget</t>
  </si>
  <si>
    <t>Total Spend</t>
  </si>
  <si>
    <t>Profit and Loss - Summary Budget 24-25</t>
  </si>
  <si>
    <t>2025 Budget</t>
  </si>
  <si>
    <t>2025 (new year) Budget</t>
  </si>
  <si>
    <t>Already funded by BWCT?</t>
  </si>
  <si>
    <t>Y</t>
  </si>
  <si>
    <t>N</t>
  </si>
  <si>
    <t>Assets to be added during 2024/25 FY</t>
  </si>
  <si>
    <t>N - targeting other funder</t>
  </si>
  <si>
    <t>Bowls Auckland Capital Expenditure Budget 2024/25</t>
  </si>
  <si>
    <t>Profit and Loss - Final Budget 2024 - 2025</t>
  </si>
  <si>
    <t xml:space="preserve">  2024 Actuals</t>
  </si>
  <si>
    <t>FY 2024 Actuals</t>
  </si>
  <si>
    <t xml:space="preserve">Membership / Event Income </t>
  </si>
  <si>
    <t>Asset 1</t>
  </si>
  <si>
    <t>Asset 2</t>
  </si>
  <si>
    <t>Asset 3</t>
  </si>
  <si>
    <t>Asset 4</t>
  </si>
  <si>
    <t>Asset 5</t>
  </si>
  <si>
    <t>Asset 6</t>
  </si>
  <si>
    <t>Asset 7</t>
  </si>
  <si>
    <t>Asset 8</t>
  </si>
  <si>
    <t>Asset 9</t>
  </si>
  <si>
    <t>Asset 10</t>
  </si>
  <si>
    <t>Asset 11</t>
  </si>
  <si>
    <t>Asset 12</t>
  </si>
  <si>
    <t>Hireage Income</t>
  </si>
  <si>
    <t>Membership Fees</t>
  </si>
  <si>
    <t xml:space="preserve">Grants </t>
  </si>
  <si>
    <t xml:space="preserve">Sponsorship  </t>
  </si>
  <si>
    <t xml:space="preserve">Hospitality </t>
  </si>
  <si>
    <t>Travel &amp; Accom</t>
  </si>
  <si>
    <t>Cleaning</t>
  </si>
  <si>
    <t>Staff Training, Recruitment &amp; Uniforms</t>
  </si>
  <si>
    <t>Staff Welfare/Professional Development</t>
  </si>
  <si>
    <t>Prior Period Cost/Gain on Sale of Asset</t>
  </si>
  <si>
    <t>Depreciation: Facilities</t>
  </si>
  <si>
    <t>Tournaments Fees</t>
  </si>
  <si>
    <t>Term Deposit Interest</t>
  </si>
  <si>
    <t>Sundry Interest/Dividends</t>
  </si>
  <si>
    <t>Total Membership / Event Income</t>
  </si>
  <si>
    <t>Bar Sales</t>
  </si>
  <si>
    <t>Kitchen Sales</t>
  </si>
  <si>
    <t>Total Operating Income</t>
  </si>
  <si>
    <t>Operating Income</t>
  </si>
  <si>
    <t>Cost of Sales</t>
  </si>
  <si>
    <t>Bar Cost of Sales</t>
  </si>
  <si>
    <t>Kitchen Cost of Sales</t>
  </si>
  <si>
    <t>Total Cost of Sales (trading)</t>
  </si>
  <si>
    <t>Bowls Costs</t>
  </si>
  <si>
    <t>Bowls Auckland Entry Fees</t>
  </si>
  <si>
    <t>Capitation Fees</t>
  </si>
  <si>
    <t>Green Fees Prizes</t>
  </si>
  <si>
    <t>Greens Maintenance</t>
  </si>
  <si>
    <t>Greens Equipment</t>
  </si>
  <si>
    <t>Total Bowls Costs</t>
  </si>
  <si>
    <t>Pavilion and Property Costs</t>
  </si>
  <si>
    <t>Rent/Rates/Lease</t>
  </si>
  <si>
    <t>Security</t>
  </si>
  <si>
    <t>2024 (last year's)          Budget</t>
  </si>
  <si>
    <t>Overheads Expenses</t>
  </si>
  <si>
    <t>Total Pavilion and Property Costs</t>
  </si>
  <si>
    <t>Total Overheads Costs</t>
  </si>
  <si>
    <t>Total Profit before Non Operating Items</t>
  </si>
  <si>
    <t>Use 'Staff 24-25' tab to feed into this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</si>
</sst>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\(#,##0\)"/>
    <numFmt numFmtId="165" formatCode="_-&quot;$&quot;* #,##0_-;\-&quot;$&quot;* #,##0_-;_-&quot;$&quot;* &quot;-&quot;??_-;_-@_-"/>
    <numFmt numFmtId="166" formatCode="_-* #,##0_-;\-* #,##0_-;_-* &quot;-&quot;??_-;_-@_-"/>
    <numFmt numFmtId="167" formatCode="_(&quot;$&quot;* #,##0.00_);_(&quot;$&quot;* \(#,##0.00\);_(&quot;$&quot;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Arial"/>
      <family val="2"/>
    </font>
    <font>
      <b/>
      <sz val="20"/>
      <color rgb="FFFF000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4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8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44" fontId="10" fillId="0" borderId="0" xfId="0" applyNumberFormat="1" applyFont="1"/>
    <xf numFmtId="0" fontId="10" fillId="0" borderId="0" xfId="0" applyFont="1" applyAlignment="1">
      <alignment horizontal="center"/>
    </xf>
    <xf numFmtId="44" fontId="10" fillId="0" borderId="4" xfId="0" applyNumberFormat="1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1" fillId="0" borderId="0" xfId="0" applyFont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1" fillId="0" borderId="1" xfId="0" applyFont="1" applyBorder="1"/>
    <xf numFmtId="0" fontId="11" fillId="0" borderId="4" xfId="0" applyFont="1" applyBorder="1" applyAlignment="1">
      <alignment horizontal="center"/>
    </xf>
    <xf numFmtId="44" fontId="11" fillId="0" borderId="0" xfId="0" applyNumberFormat="1" applyFont="1"/>
    <xf numFmtId="44" fontId="11" fillId="0" borderId="8" xfId="0" applyNumberFormat="1" applyFont="1" applyBorder="1"/>
    <xf numFmtId="44" fontId="0" fillId="0" borderId="0" xfId="1" applyFont="1" applyProtection="1"/>
    <xf numFmtId="0" fontId="7" fillId="0" borderId="0" xfId="0" applyFont="1"/>
    <xf numFmtId="165" fontId="0" fillId="0" borderId="0" xfId="1" applyNumberFormat="1" applyFont="1" applyProtection="1"/>
    <xf numFmtId="165" fontId="0" fillId="0" borderId="0" xfId="0" applyNumberFormat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17" fontId="7" fillId="0" borderId="4" xfId="0" applyNumberFormat="1" applyFont="1" applyBorder="1" applyAlignment="1">
      <alignment horizontal="center"/>
    </xf>
    <xf numFmtId="0" fontId="8" fillId="0" borderId="4" xfId="0" applyFont="1" applyBorder="1"/>
    <xf numFmtId="165" fontId="0" fillId="0" borderId="4" xfId="1" applyNumberFormat="1" applyFont="1" applyBorder="1" applyProtection="1"/>
    <xf numFmtId="165" fontId="0" fillId="0" borderId="4" xfId="0" applyNumberFormat="1" applyBorder="1"/>
    <xf numFmtId="0" fontId="0" fillId="0" borderId="4" xfId="0" applyBorder="1"/>
    <xf numFmtId="165" fontId="7" fillId="0" borderId="4" xfId="1" applyNumberFormat="1" applyFont="1" applyBorder="1" applyProtection="1"/>
    <xf numFmtId="0" fontId="7" fillId="0" borderId="0" xfId="0" applyFont="1" applyAlignment="1">
      <alignment vertical="center" wrapText="1"/>
    </xf>
    <xf numFmtId="0" fontId="8" fillId="0" borderId="0" xfId="0" applyFont="1"/>
    <xf numFmtId="0" fontId="7" fillId="0" borderId="2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/>
    </xf>
    <xf numFmtId="164" fontId="13" fillId="0" borderId="2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164" fontId="13" fillId="0" borderId="15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164" fontId="12" fillId="0" borderId="15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0" fontId="13" fillId="0" borderId="7" xfId="0" applyFont="1" applyBorder="1"/>
    <xf numFmtId="164" fontId="13" fillId="0" borderId="0" xfId="0" applyNumberFormat="1" applyFont="1"/>
    <xf numFmtId="164" fontId="12" fillId="0" borderId="0" xfId="0" applyNumberFormat="1" applyFont="1"/>
    <xf numFmtId="164" fontId="13" fillId="0" borderId="13" xfId="0" applyNumberFormat="1" applyFont="1" applyBorder="1"/>
    <xf numFmtId="164" fontId="12" fillId="0" borderId="1" xfId="0" applyNumberFormat="1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0" fontId="12" fillId="2" borderId="9" xfId="0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horizontal="right" vertical="center"/>
    </xf>
    <xf numFmtId="164" fontId="12" fillId="2" borderId="1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7" fillId="0" borderId="17" xfId="0" applyFont="1" applyBorder="1"/>
    <xf numFmtId="0" fontId="0" fillId="0" borderId="18" xfId="0" applyBorder="1"/>
    <xf numFmtId="0" fontId="7" fillId="0" borderId="7" xfId="0" applyFont="1" applyBorder="1"/>
    <xf numFmtId="0" fontId="0" fillId="0" borderId="13" xfId="0" applyBorder="1"/>
    <xf numFmtId="0" fontId="0" fillId="0" borderId="7" xfId="0" applyBorder="1"/>
    <xf numFmtId="166" fontId="0" fillId="0" borderId="0" xfId="2" applyNumberFormat="1" applyFont="1" applyBorder="1" applyProtection="1"/>
    <xf numFmtId="0" fontId="0" fillId="0" borderId="11" xfId="0" applyBorder="1"/>
    <xf numFmtId="0" fontId="0" fillId="0" borderId="1" xfId="0" applyBorder="1"/>
    <xf numFmtId="0" fontId="7" fillId="0" borderId="1" xfId="0" applyFont="1" applyBorder="1"/>
    <xf numFmtId="0" fontId="0" fillId="0" borderId="12" xfId="0" applyBorder="1"/>
    <xf numFmtId="0" fontId="12" fillId="0" borderId="7" xfId="0" applyFont="1" applyBorder="1" applyAlignment="1">
      <alignment vertical="center"/>
    </xf>
    <xf numFmtId="0" fontId="8" fillId="0" borderId="7" xfId="0" applyFont="1" applyBorder="1"/>
    <xf numFmtId="166" fontId="7" fillId="0" borderId="3" xfId="2" applyNumberFormat="1" applyFont="1" applyBorder="1" applyProtection="1"/>
    <xf numFmtId="166" fontId="7" fillId="0" borderId="3" xfId="0" applyNumberFormat="1" applyFont="1" applyBorder="1"/>
    <xf numFmtId="164" fontId="12" fillId="0" borderId="0" xfId="0" applyNumberFormat="1" applyFont="1" applyAlignment="1">
      <alignment horizontal="right" vertical="center"/>
    </xf>
    <xf numFmtId="164" fontId="12" fillId="0" borderId="1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17" fontId="12" fillId="0" borderId="4" xfId="0" applyNumberFormat="1" applyFont="1" applyBorder="1" applyAlignment="1">
      <alignment horizontal="center" vertical="center"/>
    </xf>
    <xf numFmtId="0" fontId="9" fillId="0" borderId="4" xfId="0" applyFont="1" applyBorder="1"/>
    <xf numFmtId="164" fontId="12" fillId="0" borderId="3" xfId="0" applyNumberFormat="1" applyFont="1" applyBorder="1" applyAlignment="1">
      <alignment horizontal="right" vertical="center"/>
    </xf>
    <xf numFmtId="0" fontId="13" fillId="3" borderId="14" xfId="0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horizontal="right" vertical="center"/>
    </xf>
    <xf numFmtId="0" fontId="9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3" fillId="0" borderId="19" xfId="0" applyFont="1" applyBorder="1"/>
    <xf numFmtId="0" fontId="12" fillId="0" borderId="5" xfId="0" applyFont="1" applyBorder="1" applyAlignment="1">
      <alignment vertical="center" wrapText="1"/>
    </xf>
    <xf numFmtId="0" fontId="12" fillId="2" borderId="4" xfId="0" applyFont="1" applyFill="1" applyBorder="1" applyAlignment="1">
      <alignment vertical="center"/>
    </xf>
    <xf numFmtId="0" fontId="13" fillId="3" borderId="20" xfId="0" applyFont="1" applyFill="1" applyBorder="1" applyAlignment="1">
      <alignment vertical="center"/>
    </xf>
    <xf numFmtId="164" fontId="12" fillId="0" borderId="20" xfId="0" applyNumberFormat="1" applyFont="1" applyBorder="1" applyAlignment="1">
      <alignment horizontal="right" vertical="center"/>
    </xf>
    <xf numFmtId="164" fontId="12" fillId="0" borderId="19" xfId="0" applyNumberFormat="1" applyFont="1" applyBorder="1" applyAlignment="1">
      <alignment vertical="center" wrapText="1"/>
    </xf>
    <xf numFmtId="164" fontId="12" fillId="0" borderId="19" xfId="0" applyNumberFormat="1" applyFont="1" applyBorder="1"/>
    <xf numFmtId="164" fontId="12" fillId="0" borderId="5" xfId="0" applyNumberFormat="1" applyFont="1" applyBorder="1" applyAlignment="1">
      <alignment vertical="center" wrapText="1"/>
    </xf>
    <xf numFmtId="164" fontId="12" fillId="2" borderId="4" xfId="0" applyNumberFormat="1" applyFont="1" applyFill="1" applyBorder="1" applyAlignment="1">
      <alignment horizontal="right" vertical="center"/>
    </xf>
    <xf numFmtId="164" fontId="12" fillId="0" borderId="19" xfId="0" applyNumberFormat="1" applyFont="1" applyBorder="1" applyAlignment="1">
      <alignment horizontal="right" vertical="center"/>
    </xf>
    <xf numFmtId="0" fontId="13" fillId="4" borderId="20" xfId="0" applyFont="1" applyFill="1" applyBorder="1" applyAlignment="1">
      <alignment vertical="center"/>
    </xf>
    <xf numFmtId="164" fontId="13" fillId="0" borderId="4" xfId="0" applyNumberFormat="1" applyFont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/>
    </xf>
    <xf numFmtId="164" fontId="13" fillId="0" borderId="4" xfId="0" applyNumberFormat="1" applyFont="1" applyBorder="1"/>
    <xf numFmtId="164" fontId="12" fillId="0" borderId="4" xfId="0" applyNumberFormat="1" applyFont="1" applyBorder="1"/>
    <xf numFmtId="0" fontId="12" fillId="0" borderId="4" xfId="0" applyFont="1" applyBorder="1" applyAlignment="1">
      <alignment vertical="center" wrapText="1"/>
    </xf>
    <xf numFmtId="164" fontId="13" fillId="0" borderId="4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12" fillId="0" borderId="4" xfId="0" applyNumberFormat="1" applyFont="1" applyBorder="1" applyAlignment="1">
      <alignment vertical="center" wrapText="1"/>
    </xf>
    <xf numFmtId="0" fontId="13" fillId="0" borderId="4" xfId="0" applyFont="1" applyBorder="1"/>
    <xf numFmtId="0" fontId="12" fillId="0" borderId="0" xfId="0" applyFont="1"/>
    <xf numFmtId="0" fontId="12" fillId="0" borderId="4" xfId="0" applyFont="1" applyBorder="1"/>
    <xf numFmtId="0" fontId="14" fillId="0" borderId="0" xfId="0" applyFont="1" applyAlignment="1">
      <alignment vertical="center"/>
    </xf>
    <xf numFmtId="164" fontId="0" fillId="0" borderId="0" xfId="0" applyNumberFormat="1"/>
    <xf numFmtId="0" fontId="13" fillId="0" borderId="4" xfId="0" applyFont="1" applyBorder="1" applyAlignment="1">
      <alignment horizontal="left" wrapText="1"/>
    </xf>
    <xf numFmtId="0" fontId="16" fillId="0" borderId="0" xfId="0" applyFont="1"/>
    <xf numFmtId="166" fontId="0" fillId="0" borderId="0" xfId="2" applyNumberFormat="1" applyFon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64" fontId="20" fillId="0" borderId="4" xfId="0" applyNumberFormat="1" applyFont="1" applyBorder="1" applyAlignment="1">
      <alignment horizontal="right" vertical="center"/>
    </xf>
    <xf numFmtId="164" fontId="20" fillId="0" borderId="4" xfId="0" applyNumberFormat="1" applyFont="1" applyBorder="1" applyAlignment="1">
      <alignment vertical="center" wrapText="1"/>
    </xf>
    <xf numFmtId="164" fontId="17" fillId="0" borderId="4" xfId="0" applyNumberFormat="1" applyFont="1" applyBorder="1"/>
    <xf numFmtId="0" fontId="21" fillId="0" borderId="0" xfId="0" applyFont="1"/>
    <xf numFmtId="166" fontId="21" fillId="0" borderId="0" xfId="2" applyNumberFormat="1" applyFont="1" applyFill="1"/>
    <xf numFmtId="166" fontId="8" fillId="0" borderId="0" xfId="2" applyNumberFormat="1" applyFont="1"/>
    <xf numFmtId="166" fontId="8" fillId="0" borderId="0" xfId="2" applyNumberFormat="1" applyFont="1" applyFill="1"/>
    <xf numFmtId="0" fontId="8" fillId="3" borderId="0" xfId="0" applyFont="1" applyFill="1"/>
    <xf numFmtId="0" fontId="12" fillId="0" borderId="4" xfId="0" applyFont="1" applyBorder="1" applyAlignment="1">
      <alignment vertical="top" wrapText="1"/>
    </xf>
    <xf numFmtId="166" fontId="7" fillId="0" borderId="21" xfId="2" applyNumberFormat="1" applyFont="1" applyBorder="1"/>
    <xf numFmtId="0" fontId="17" fillId="0" borderId="0" xfId="0" applyFont="1"/>
    <xf numFmtId="0" fontId="17" fillId="0" borderId="4" xfId="0" applyFont="1" applyBorder="1"/>
    <xf numFmtId="0" fontId="17" fillId="0" borderId="4" xfId="0" applyFont="1" applyBorder="1" applyAlignment="1">
      <alignment wrapText="1"/>
    </xf>
    <xf numFmtId="0" fontId="13" fillId="0" borderId="4" xfId="0" applyFont="1" applyBorder="1" applyAlignment="1">
      <alignment horizontal="left" vertical="top" wrapText="1"/>
    </xf>
    <xf numFmtId="17" fontId="0" fillId="0" borderId="1" xfId="0" applyNumberFormat="1" applyBorder="1"/>
    <xf numFmtId="0" fontId="23" fillId="0" borderId="4" xfId="0" applyFont="1" applyBorder="1" applyAlignment="1">
      <alignment vertical="center" wrapText="1"/>
    </xf>
    <xf numFmtId="164" fontId="12" fillId="0" borderId="4" xfId="0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44" fontId="11" fillId="0" borderId="6" xfId="0" applyNumberFormat="1" applyFont="1" applyBorder="1" applyAlignment="1">
      <alignment horizontal="center" wrapText="1"/>
    </xf>
    <xf numFmtId="44" fontId="11" fillId="0" borderId="5" xfId="0" applyNumberFormat="1" applyFont="1" applyBorder="1" applyAlignment="1">
      <alignment horizontal="center" wrapText="1"/>
    </xf>
    <xf numFmtId="164" fontId="13" fillId="0" borderId="4" xfId="0" applyNumberFormat="1" applyFont="1" applyFill="1" applyBorder="1" applyAlignment="1">
      <alignment horizontal="right" vertical="center"/>
    </xf>
    <xf numFmtId="164" fontId="12" fillId="5" borderId="4" xfId="0" applyNumberFormat="1" applyFont="1" applyFill="1" applyBorder="1" applyAlignment="1">
      <alignment horizontal="right" vertical="center"/>
    </xf>
    <xf numFmtId="164" fontId="12" fillId="5" borderId="4" xfId="0" applyNumberFormat="1" applyFont="1" applyFill="1" applyBorder="1"/>
    <xf numFmtId="164" fontId="13" fillId="5" borderId="4" xfId="0" applyNumberFormat="1" applyFont="1" applyFill="1" applyBorder="1" applyAlignment="1">
      <alignment horizontal="right" vertical="center"/>
    </xf>
    <xf numFmtId="164" fontId="12" fillId="5" borderId="13" xfId="0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/>
    <xf numFmtId="164" fontId="12" fillId="5" borderId="3" xfId="0" applyNumberFormat="1" applyFont="1" applyFill="1" applyBorder="1" applyAlignment="1">
      <alignment horizontal="right" vertical="center"/>
    </xf>
  </cellXfs>
  <cellStyles count="13">
    <cellStyle name="Comma" xfId="2" builtinId="3"/>
    <cellStyle name="Comma 2" xfId="5" xr:uid="{A2BAB7C6-1E49-40E1-BDA5-71642E0F0F2B}"/>
    <cellStyle name="Comma 2 2" xfId="8" xr:uid="{34F2571F-F611-4F6E-A1C5-A304CDAE1F1F}"/>
    <cellStyle name="Comma 2 2 2" xfId="11" xr:uid="{DC77E886-1305-4D00-9F7A-2DBBBDEBED4A}"/>
    <cellStyle name="Currency" xfId="1" builtinId="4"/>
    <cellStyle name="Currency 2" xfId="6" xr:uid="{A9B07D50-228F-4B8C-8F44-77122024D9E8}"/>
    <cellStyle name="Currency 2 2" xfId="9" xr:uid="{77D872CB-8902-4CFA-9B47-56273B060A2F}"/>
    <cellStyle name="Currency 2 2 2" xfId="12" xr:uid="{5AC4C407-EDFA-4B43-B029-A74E90D85E3A}"/>
    <cellStyle name="Normal" xfId="0" builtinId="0"/>
    <cellStyle name="Normal 2" xfId="3" xr:uid="{A6A5791A-C11D-4CF0-97D7-9BD43A493417}"/>
    <cellStyle name="Normal 2 2" xfId="4" xr:uid="{363878DB-8421-4E78-9615-A4E2DECE9895}"/>
    <cellStyle name="Normal 2 3" xfId="7" xr:uid="{B45AAAF3-60B8-4842-9233-CBE816FAF46C}"/>
    <cellStyle name="Normal 2 3 2" xfId="10" xr:uid="{5150A7A6-8F9D-4538-A000-4CB098A964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20" dT="2020-12-31T01:34:07.83" personId="{00000000-0000-0000-0000-000000000000}" id="{EC575646-220D-4E4D-92C0-02B7710A303E}">
    <text>Rawhiti Admin fee - 3 Years @ $9,600 per annum plus Club Support Manager grant of $30K per year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87D96-A3E4-4A78-AE40-C713BA345C69}">
  <sheetPr>
    <pageSetUpPr fitToPage="1"/>
  </sheetPr>
  <dimension ref="A1:S90"/>
  <sheetViews>
    <sheetView tabSelected="1" topLeftCell="B1" zoomScale="90" zoomScaleNormal="90" workbookViewId="0">
      <pane xSplit="2" ySplit="3" topLeftCell="D4" activePane="bottomRight" state="frozen"/>
      <selection activeCell="C20" sqref="C20"/>
      <selection pane="topRight" activeCell="C20" sqref="C20"/>
      <selection pane="bottomLeft" activeCell="C20" sqref="C20"/>
      <selection pane="bottomRight" activeCell="D6" sqref="D6"/>
    </sheetView>
  </sheetViews>
  <sheetFormatPr defaultRowHeight="14" x14ac:dyDescent="0.3"/>
  <cols>
    <col min="1" max="1" width="1" customWidth="1"/>
    <col min="2" max="2" width="2.81640625" customWidth="1"/>
    <col min="3" max="3" width="52.26953125" bestFit="1" customWidth="1"/>
    <col min="4" max="8" width="8.7265625" bestFit="1" customWidth="1"/>
    <col min="9" max="15" width="9.81640625" customWidth="1"/>
    <col min="16" max="16" width="12.26953125" style="109" customWidth="1"/>
    <col min="17" max="17" width="12.453125" style="32" customWidth="1"/>
    <col min="18" max="18" width="11.81640625" style="121" customWidth="1"/>
  </cols>
  <sheetData>
    <row r="1" spans="1:18" ht="21" customHeight="1" x14ac:dyDescent="0.3">
      <c r="C1" s="111" t="s">
        <v>191</v>
      </c>
      <c r="Q1" s="1"/>
      <c r="R1" s="116"/>
    </row>
    <row r="2" spans="1:18" ht="22.5" customHeight="1" x14ac:dyDescent="0.4">
      <c r="C2" s="77"/>
      <c r="D2" s="75" t="s">
        <v>178</v>
      </c>
      <c r="E2" s="75" t="s">
        <v>178</v>
      </c>
      <c r="F2" s="75" t="s">
        <v>178</v>
      </c>
      <c r="G2" s="75" t="s">
        <v>178</v>
      </c>
      <c r="H2" s="75" t="s">
        <v>178</v>
      </c>
      <c r="I2" s="75" t="s">
        <v>178</v>
      </c>
      <c r="J2" s="75" t="s">
        <v>178</v>
      </c>
      <c r="K2" s="75" t="s">
        <v>178</v>
      </c>
      <c r="L2" s="75" t="s">
        <v>178</v>
      </c>
      <c r="M2" s="75" t="s">
        <v>178</v>
      </c>
      <c r="N2" s="75" t="s">
        <v>178</v>
      </c>
      <c r="O2" s="75" t="s">
        <v>178</v>
      </c>
      <c r="Q2" s="2"/>
      <c r="R2" s="117"/>
    </row>
    <row r="3" spans="1:18" s="5" customFormat="1" ht="44.5" customHeight="1" x14ac:dyDescent="0.25">
      <c r="A3" s="4"/>
      <c r="B3" s="4"/>
      <c r="C3" s="34" t="s">
        <v>2</v>
      </c>
      <c r="D3" s="76">
        <v>45413</v>
      </c>
      <c r="E3" s="76">
        <v>45444</v>
      </c>
      <c r="F3" s="76">
        <v>45474</v>
      </c>
      <c r="G3" s="76">
        <v>45505</v>
      </c>
      <c r="H3" s="76">
        <v>45536</v>
      </c>
      <c r="I3" s="76">
        <v>45566</v>
      </c>
      <c r="J3" s="76">
        <v>45597</v>
      </c>
      <c r="K3" s="76">
        <v>45627</v>
      </c>
      <c r="L3" s="76">
        <v>45658</v>
      </c>
      <c r="M3" s="76">
        <v>45689</v>
      </c>
      <c r="N3" s="76">
        <v>45717</v>
      </c>
      <c r="O3" s="76">
        <v>45748</v>
      </c>
      <c r="P3" s="75" t="s">
        <v>183</v>
      </c>
      <c r="Q3" s="75" t="s">
        <v>193</v>
      </c>
      <c r="R3" s="75" t="s">
        <v>180</v>
      </c>
    </row>
    <row r="4" spans="1:18" ht="13" customHeight="1" x14ac:dyDescent="0.3">
      <c r="C4" s="133" t="s">
        <v>225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10"/>
      <c r="Q4" s="103"/>
      <c r="R4" s="103"/>
    </row>
    <row r="5" spans="1:18" s="32" customFormat="1" ht="15" customHeight="1" x14ac:dyDescent="0.3">
      <c r="A5" s="31"/>
      <c r="B5" s="31"/>
      <c r="C5" s="103" t="s">
        <v>194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10"/>
      <c r="Q5" s="103"/>
      <c r="R5" s="103"/>
    </row>
    <row r="6" spans="1:18" s="32" customFormat="1" ht="15" customHeight="1" x14ac:dyDescent="0.3">
      <c r="C6" s="104" t="s">
        <v>208</v>
      </c>
      <c r="D6" s="142">
        <v>0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0</v>
      </c>
      <c r="K6" s="142">
        <v>0</v>
      </c>
      <c r="L6" s="142">
        <v>0</v>
      </c>
      <c r="M6" s="142">
        <v>0</v>
      </c>
      <c r="N6" s="142">
        <v>0</v>
      </c>
      <c r="O6" s="142">
        <v>0</v>
      </c>
      <c r="P6" s="144">
        <f>SUM(D6:O6)</f>
        <v>0</v>
      </c>
      <c r="Q6" s="99"/>
      <c r="R6" s="99"/>
    </row>
    <row r="7" spans="1:18" s="32" customFormat="1" ht="15" customHeight="1" x14ac:dyDescent="0.3">
      <c r="C7" s="105" t="s">
        <v>207</v>
      </c>
      <c r="D7" s="142">
        <v>0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2">
        <v>0</v>
      </c>
      <c r="M7" s="142">
        <v>0</v>
      </c>
      <c r="N7" s="142">
        <v>0</v>
      </c>
      <c r="O7" s="142">
        <v>0</v>
      </c>
      <c r="P7" s="144">
        <f t="shared" ref="P7:P8" si="0">SUM(D7:O7)</f>
        <v>0</v>
      </c>
      <c r="Q7" s="99"/>
      <c r="R7" s="99"/>
    </row>
    <row r="8" spans="1:18" s="32" customFormat="1" ht="15" customHeight="1" x14ac:dyDescent="0.3">
      <c r="C8" s="104" t="s">
        <v>218</v>
      </c>
      <c r="D8" s="142">
        <v>0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142">
        <v>0</v>
      </c>
      <c r="L8" s="142">
        <v>0</v>
      </c>
      <c r="M8" s="142">
        <v>0</v>
      </c>
      <c r="N8" s="142">
        <v>0</v>
      </c>
      <c r="O8" s="142">
        <v>0</v>
      </c>
      <c r="P8" s="144">
        <f t="shared" si="0"/>
        <v>0</v>
      </c>
      <c r="Q8" s="99"/>
      <c r="R8" s="99"/>
    </row>
    <row r="9" spans="1:18" s="32" customFormat="1" ht="15" customHeight="1" x14ac:dyDescent="0.25">
      <c r="C9" s="106" t="s">
        <v>221</v>
      </c>
      <c r="D9" s="143">
        <f t="shared" ref="D9:R9" si="1">SUM(D6:D8)</f>
        <v>0</v>
      </c>
      <c r="E9" s="143">
        <f t="shared" si="1"/>
        <v>0</v>
      </c>
      <c r="F9" s="143">
        <f t="shared" si="1"/>
        <v>0</v>
      </c>
      <c r="G9" s="143">
        <f t="shared" si="1"/>
        <v>0</v>
      </c>
      <c r="H9" s="143">
        <f t="shared" si="1"/>
        <v>0</v>
      </c>
      <c r="I9" s="143">
        <f t="shared" si="1"/>
        <v>0</v>
      </c>
      <c r="J9" s="143">
        <f t="shared" si="1"/>
        <v>0</v>
      </c>
      <c r="K9" s="143">
        <f t="shared" si="1"/>
        <v>0</v>
      </c>
      <c r="L9" s="143">
        <f t="shared" si="1"/>
        <v>0</v>
      </c>
      <c r="M9" s="143">
        <f t="shared" si="1"/>
        <v>0</v>
      </c>
      <c r="N9" s="143">
        <f t="shared" si="1"/>
        <v>0</v>
      </c>
      <c r="O9" s="143">
        <f t="shared" si="1"/>
        <v>0</v>
      </c>
      <c r="P9" s="143">
        <f t="shared" si="1"/>
        <v>0</v>
      </c>
      <c r="Q9" s="143">
        <f t="shared" si="1"/>
        <v>0</v>
      </c>
      <c r="R9" s="143">
        <f t="shared" si="1"/>
        <v>0</v>
      </c>
    </row>
    <row r="10" spans="1:18" s="32" customFormat="1" ht="15" customHeight="1" x14ac:dyDescent="0.25">
      <c r="C10" s="103" t="s">
        <v>3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pans="1:18" s="32" customFormat="1" ht="15" customHeight="1" x14ac:dyDescent="0.3">
      <c r="C11" s="104" t="s">
        <v>222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144">
        <f t="shared" ref="P11:P12" si="2">SUM(D11:O11)</f>
        <v>0</v>
      </c>
      <c r="Q11" s="100"/>
      <c r="R11" s="100"/>
    </row>
    <row r="12" spans="1:18" s="32" customFormat="1" ht="15" customHeight="1" x14ac:dyDescent="0.3">
      <c r="C12" s="104" t="s">
        <v>223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144">
        <f t="shared" si="2"/>
        <v>0</v>
      </c>
      <c r="Q12" s="100"/>
      <c r="R12" s="100"/>
    </row>
    <row r="13" spans="1:18" s="32" customFormat="1" ht="15" customHeight="1" x14ac:dyDescent="0.25">
      <c r="C13" s="106" t="s">
        <v>30</v>
      </c>
      <c r="D13" s="143">
        <f>SUM(D11:D12)</f>
        <v>0</v>
      </c>
      <c r="E13" s="143">
        <f t="shared" ref="E13:O13" si="3">SUM(E11:E12)</f>
        <v>0</v>
      </c>
      <c r="F13" s="143">
        <f t="shared" si="3"/>
        <v>0</v>
      </c>
      <c r="G13" s="143">
        <f t="shared" si="3"/>
        <v>0</v>
      </c>
      <c r="H13" s="143">
        <f t="shared" si="3"/>
        <v>0</v>
      </c>
      <c r="I13" s="143">
        <f t="shared" si="3"/>
        <v>0</v>
      </c>
      <c r="J13" s="143">
        <f t="shared" si="3"/>
        <v>0</v>
      </c>
      <c r="K13" s="143">
        <f t="shared" si="3"/>
        <v>0</v>
      </c>
      <c r="L13" s="143">
        <f t="shared" si="3"/>
        <v>0</v>
      </c>
      <c r="M13" s="143">
        <f t="shared" si="3"/>
        <v>0</v>
      </c>
      <c r="N13" s="143">
        <f t="shared" si="3"/>
        <v>0</v>
      </c>
      <c r="O13" s="143">
        <f t="shared" si="3"/>
        <v>0</v>
      </c>
      <c r="P13" s="143">
        <f>SUM(P11:P12)</f>
        <v>0</v>
      </c>
      <c r="Q13" s="143">
        <f>SUM(Q11:Q12)</f>
        <v>0</v>
      </c>
      <c r="R13" s="143">
        <f>SUM(R11:R12)</f>
        <v>0</v>
      </c>
    </row>
    <row r="14" spans="1:18" s="32" customFormat="1" ht="15" customHeight="1" x14ac:dyDescent="0.25">
      <c r="A14" s="31"/>
      <c r="B14" s="31"/>
      <c r="C14" s="103" t="s">
        <v>12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0"/>
      <c r="Q14" s="107"/>
      <c r="R14" s="119"/>
    </row>
    <row r="15" spans="1:18" s="32" customFormat="1" ht="15" customHeight="1" x14ac:dyDescent="0.3">
      <c r="C15" s="104" t="s">
        <v>209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144">
        <f t="shared" ref="P15:P16" si="4">SUM(D15:O15)</f>
        <v>0</v>
      </c>
      <c r="Q15" s="99"/>
      <c r="R15" s="99"/>
    </row>
    <row r="16" spans="1:18" s="32" customFormat="1" ht="15" customHeight="1" x14ac:dyDescent="0.3">
      <c r="C16" s="104" t="s">
        <v>210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144">
        <f t="shared" si="4"/>
        <v>0</v>
      </c>
      <c r="Q16" s="99"/>
      <c r="R16" s="99"/>
    </row>
    <row r="17" spans="1:18" s="32" customFormat="1" ht="15" customHeight="1" x14ac:dyDescent="0.25">
      <c r="C17" s="106" t="s">
        <v>18</v>
      </c>
      <c r="D17" s="143">
        <f t="shared" ref="D17:R17" si="5">SUM(D15:D16)</f>
        <v>0</v>
      </c>
      <c r="E17" s="143">
        <f t="shared" si="5"/>
        <v>0</v>
      </c>
      <c r="F17" s="143">
        <f t="shared" si="5"/>
        <v>0</v>
      </c>
      <c r="G17" s="143">
        <f t="shared" si="5"/>
        <v>0</v>
      </c>
      <c r="H17" s="143">
        <f t="shared" si="5"/>
        <v>0</v>
      </c>
      <c r="I17" s="143">
        <f t="shared" si="5"/>
        <v>0</v>
      </c>
      <c r="J17" s="143">
        <f t="shared" si="5"/>
        <v>0</v>
      </c>
      <c r="K17" s="143">
        <f t="shared" si="5"/>
        <v>0</v>
      </c>
      <c r="L17" s="143">
        <f t="shared" si="5"/>
        <v>0</v>
      </c>
      <c r="M17" s="143">
        <f t="shared" si="5"/>
        <v>0</v>
      </c>
      <c r="N17" s="143">
        <f t="shared" si="5"/>
        <v>0</v>
      </c>
      <c r="O17" s="143">
        <f t="shared" si="5"/>
        <v>0</v>
      </c>
      <c r="P17" s="143">
        <f>SUM(P15:P16)</f>
        <v>0</v>
      </c>
      <c r="Q17" s="143">
        <f t="shared" si="5"/>
        <v>0</v>
      </c>
      <c r="R17" s="143">
        <f t="shared" si="5"/>
        <v>0</v>
      </c>
    </row>
    <row r="18" spans="1:18" s="32" customFormat="1" ht="15" customHeight="1" x14ac:dyDescent="0.25">
      <c r="A18" s="31"/>
      <c r="B18" s="31"/>
      <c r="C18" s="103" t="s">
        <v>24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00"/>
      <c r="Q18" s="107"/>
      <c r="R18" s="119"/>
    </row>
    <row r="19" spans="1:18" s="32" customFormat="1" ht="15" customHeight="1" x14ac:dyDescent="0.3">
      <c r="C19" s="104" t="s">
        <v>219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144">
        <f t="shared" ref="P19:P20" si="6">SUM(D19:O19)</f>
        <v>0</v>
      </c>
      <c r="Q19" s="99"/>
      <c r="R19" s="99"/>
    </row>
    <row r="20" spans="1:18" s="32" customFormat="1" ht="15" customHeight="1" x14ac:dyDescent="0.3">
      <c r="C20" s="104" t="s">
        <v>220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144">
        <f t="shared" si="6"/>
        <v>0</v>
      </c>
      <c r="Q20" s="99"/>
      <c r="R20" s="99"/>
    </row>
    <row r="21" spans="1:18" s="32" customFormat="1" ht="15" customHeight="1" x14ac:dyDescent="0.25">
      <c r="C21" s="106" t="s">
        <v>29</v>
      </c>
      <c r="D21" s="143">
        <f t="shared" ref="D21:R21" si="7">SUM(D19:D20)</f>
        <v>0</v>
      </c>
      <c r="E21" s="143">
        <f t="shared" si="7"/>
        <v>0</v>
      </c>
      <c r="F21" s="143">
        <f t="shared" si="7"/>
        <v>0</v>
      </c>
      <c r="G21" s="143">
        <f t="shared" si="7"/>
        <v>0</v>
      </c>
      <c r="H21" s="143">
        <f t="shared" si="7"/>
        <v>0</v>
      </c>
      <c r="I21" s="143">
        <f t="shared" si="7"/>
        <v>0</v>
      </c>
      <c r="J21" s="143">
        <f t="shared" si="7"/>
        <v>0</v>
      </c>
      <c r="K21" s="143">
        <f t="shared" si="7"/>
        <v>0</v>
      </c>
      <c r="L21" s="143">
        <f t="shared" si="7"/>
        <v>0</v>
      </c>
      <c r="M21" s="143">
        <f t="shared" si="7"/>
        <v>0</v>
      </c>
      <c r="N21" s="143">
        <f t="shared" si="7"/>
        <v>0</v>
      </c>
      <c r="O21" s="143">
        <f t="shared" si="7"/>
        <v>0</v>
      </c>
      <c r="P21" s="143">
        <f t="shared" si="7"/>
        <v>0</v>
      </c>
      <c r="Q21" s="143">
        <f t="shared" si="7"/>
        <v>0</v>
      </c>
      <c r="R21" s="143">
        <f t="shared" si="7"/>
        <v>0</v>
      </c>
    </row>
    <row r="22" spans="1:18" s="32" customFormat="1" ht="15" customHeight="1" x14ac:dyDescent="0.25">
      <c r="C22" s="10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100"/>
      <c r="Q22" s="100"/>
      <c r="R22" s="100"/>
    </row>
    <row r="23" spans="1:18" s="32" customFormat="1" ht="15" customHeight="1" x14ac:dyDescent="0.25">
      <c r="A23" s="33"/>
      <c r="C23" s="106" t="s">
        <v>224</v>
      </c>
      <c r="D23" s="143">
        <f>+D21+D17+D9+D13</f>
        <v>0</v>
      </c>
      <c r="E23" s="143">
        <f t="shared" ref="D23:P23" si="8">+E21+E17+E9+E13</f>
        <v>0</v>
      </c>
      <c r="F23" s="143">
        <f t="shared" si="8"/>
        <v>0</v>
      </c>
      <c r="G23" s="143">
        <f t="shared" si="8"/>
        <v>0</v>
      </c>
      <c r="H23" s="143">
        <f t="shared" si="8"/>
        <v>0</v>
      </c>
      <c r="I23" s="143">
        <f t="shared" si="8"/>
        <v>0</v>
      </c>
      <c r="J23" s="143">
        <f t="shared" si="8"/>
        <v>0</v>
      </c>
      <c r="K23" s="143">
        <f t="shared" si="8"/>
        <v>0</v>
      </c>
      <c r="L23" s="143">
        <f t="shared" si="8"/>
        <v>0</v>
      </c>
      <c r="M23" s="143">
        <f t="shared" si="8"/>
        <v>0</v>
      </c>
      <c r="N23" s="143">
        <f t="shared" si="8"/>
        <v>0</v>
      </c>
      <c r="O23" s="143">
        <f t="shared" si="8"/>
        <v>0</v>
      </c>
      <c r="P23" s="143">
        <f>+P21+P17+P9+P13</f>
        <v>0</v>
      </c>
      <c r="Q23" s="143">
        <f>+Q21+Q17+Q9+Q13</f>
        <v>0</v>
      </c>
      <c r="R23" s="143">
        <f>+R21+R17+R9+R13</f>
        <v>0</v>
      </c>
    </row>
    <row r="24" spans="1:18" s="32" customFormat="1" ht="9" customHeight="1" x14ac:dyDescent="0.3">
      <c r="C24" s="10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0"/>
      <c r="Q24" s="101"/>
      <c r="R24" s="120"/>
    </row>
    <row r="25" spans="1:18" s="32" customFormat="1" ht="15" customHeight="1" x14ac:dyDescent="0.25">
      <c r="C25" s="103" t="s">
        <v>31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0"/>
      <c r="Q25" s="107"/>
      <c r="R25" s="119"/>
    </row>
    <row r="26" spans="1:18" s="32" customFormat="1" ht="15" customHeight="1" x14ac:dyDescent="0.25">
      <c r="A26" s="31"/>
      <c r="B26" s="31"/>
      <c r="C26" s="103" t="s">
        <v>226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/>
      <c r="Q26" s="107"/>
      <c r="R26" s="119"/>
    </row>
    <row r="27" spans="1:18" s="32" customFormat="1" ht="15" customHeight="1" x14ac:dyDescent="0.3">
      <c r="C27" s="104" t="s">
        <v>227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144">
        <f t="shared" ref="P27:P28" si="9">SUM(D27:O27)</f>
        <v>0</v>
      </c>
      <c r="Q27" s="99"/>
      <c r="R27" s="99"/>
    </row>
    <row r="28" spans="1:18" s="32" customFormat="1" ht="15" customHeight="1" x14ac:dyDescent="0.3">
      <c r="C28" s="104" t="s">
        <v>228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144">
        <f t="shared" si="9"/>
        <v>0</v>
      </c>
      <c r="Q28" s="99"/>
      <c r="R28" s="99"/>
    </row>
    <row r="29" spans="1:18" s="32" customFormat="1" ht="15" customHeight="1" x14ac:dyDescent="0.25">
      <c r="C29" s="106" t="s">
        <v>229</v>
      </c>
      <c r="D29" s="143">
        <f t="shared" ref="D29:R29" si="10">SUM(D27:D28)</f>
        <v>0</v>
      </c>
      <c r="E29" s="143">
        <f t="shared" si="10"/>
        <v>0</v>
      </c>
      <c r="F29" s="143">
        <f t="shared" si="10"/>
        <v>0</v>
      </c>
      <c r="G29" s="143">
        <f t="shared" si="10"/>
        <v>0</v>
      </c>
      <c r="H29" s="143">
        <f t="shared" si="10"/>
        <v>0</v>
      </c>
      <c r="I29" s="143">
        <f t="shared" si="10"/>
        <v>0</v>
      </c>
      <c r="J29" s="143">
        <f t="shared" si="10"/>
        <v>0</v>
      </c>
      <c r="K29" s="143">
        <f t="shared" si="10"/>
        <v>0</v>
      </c>
      <c r="L29" s="143">
        <f t="shared" si="10"/>
        <v>0</v>
      </c>
      <c r="M29" s="143">
        <f t="shared" si="10"/>
        <v>0</v>
      </c>
      <c r="N29" s="143">
        <f t="shared" si="10"/>
        <v>0</v>
      </c>
      <c r="O29" s="143">
        <f t="shared" si="10"/>
        <v>0</v>
      </c>
      <c r="P29" s="143">
        <f t="shared" si="10"/>
        <v>0</v>
      </c>
      <c r="Q29" s="143">
        <f t="shared" si="10"/>
        <v>0</v>
      </c>
      <c r="R29" s="143">
        <f>SUM(R27:R28)</f>
        <v>0</v>
      </c>
    </row>
    <row r="30" spans="1:18" s="32" customFormat="1" ht="15" customHeight="1" x14ac:dyDescent="0.25">
      <c r="A30" s="31"/>
      <c r="B30" s="31"/>
      <c r="C30" s="103" t="s">
        <v>230</v>
      </c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100"/>
      <c r="Q30" s="107"/>
      <c r="R30" s="107"/>
    </row>
    <row r="31" spans="1:18" s="32" customFormat="1" ht="15" customHeight="1" x14ac:dyDescent="0.3">
      <c r="C31" s="104" t="s">
        <v>231</v>
      </c>
      <c r="D31" s="99">
        <v>0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144">
        <f>SUM(D31:O31)</f>
        <v>0</v>
      </c>
      <c r="Q31" s="99"/>
      <c r="R31" s="99"/>
    </row>
    <row r="32" spans="1:18" s="32" customFormat="1" ht="15" customHeight="1" x14ac:dyDescent="0.3">
      <c r="C32" s="104" t="s">
        <v>232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144">
        <f t="shared" ref="P32:P34" si="11">SUM(D32:O32)</f>
        <v>0</v>
      </c>
      <c r="Q32" s="99"/>
      <c r="R32" s="99"/>
    </row>
    <row r="33" spans="1:18" s="32" customFormat="1" ht="15" customHeight="1" x14ac:dyDescent="0.3">
      <c r="C33" s="104" t="s">
        <v>233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144">
        <f t="shared" si="11"/>
        <v>0</v>
      </c>
      <c r="Q33" s="99"/>
      <c r="R33" s="99"/>
    </row>
    <row r="34" spans="1:18" s="32" customFormat="1" ht="15" customHeight="1" x14ac:dyDescent="0.3">
      <c r="C34" s="104" t="s">
        <v>234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144">
        <f t="shared" si="11"/>
        <v>0</v>
      </c>
      <c r="Q34" s="99"/>
      <c r="R34" s="99"/>
    </row>
    <row r="35" spans="1:18" s="32" customFormat="1" ht="15" customHeight="1" x14ac:dyDescent="0.3">
      <c r="C35" s="104" t="s">
        <v>235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144">
        <f>SUM(D35:O35)</f>
        <v>0</v>
      </c>
      <c r="Q35" s="99"/>
      <c r="R35" s="99"/>
    </row>
    <row r="36" spans="1:18" s="32" customFormat="1" ht="15" customHeight="1" x14ac:dyDescent="0.25">
      <c r="C36" s="106" t="s">
        <v>236</v>
      </c>
      <c r="D36" s="143">
        <f>SUM(D31:D35)</f>
        <v>0</v>
      </c>
      <c r="E36" s="143">
        <f t="shared" ref="D36:R36" si="12">SUM(E31:E35)</f>
        <v>0</v>
      </c>
      <c r="F36" s="143">
        <f t="shared" si="12"/>
        <v>0</v>
      </c>
      <c r="G36" s="143">
        <f t="shared" si="12"/>
        <v>0</v>
      </c>
      <c r="H36" s="143">
        <f t="shared" si="12"/>
        <v>0</v>
      </c>
      <c r="I36" s="143">
        <f t="shared" si="12"/>
        <v>0</v>
      </c>
      <c r="J36" s="143">
        <f t="shared" si="12"/>
        <v>0</v>
      </c>
      <c r="K36" s="143">
        <f t="shared" si="12"/>
        <v>0</v>
      </c>
      <c r="L36" s="143">
        <f t="shared" si="12"/>
        <v>0</v>
      </c>
      <c r="M36" s="143">
        <f t="shared" si="12"/>
        <v>0</v>
      </c>
      <c r="N36" s="143">
        <f t="shared" si="12"/>
        <v>0</v>
      </c>
      <c r="O36" s="143">
        <f t="shared" si="12"/>
        <v>0</v>
      </c>
      <c r="P36" s="143">
        <f t="shared" si="12"/>
        <v>0</v>
      </c>
      <c r="Q36" s="143">
        <f>SUM(Q31:Q35)</f>
        <v>0</v>
      </c>
      <c r="R36" s="143">
        <f t="shared" si="12"/>
        <v>0</v>
      </c>
    </row>
    <row r="37" spans="1:18" s="32" customFormat="1" ht="15" customHeight="1" x14ac:dyDescent="0.25">
      <c r="C37" s="106" t="s">
        <v>53</v>
      </c>
      <c r="D37" s="143">
        <f>+D36+D29</f>
        <v>0</v>
      </c>
      <c r="E37" s="143">
        <f t="shared" ref="E37:O37" si="13">+E36+E29</f>
        <v>0</v>
      </c>
      <c r="F37" s="143">
        <f t="shared" si="13"/>
        <v>0</v>
      </c>
      <c r="G37" s="143">
        <f t="shared" si="13"/>
        <v>0</v>
      </c>
      <c r="H37" s="143">
        <f t="shared" si="13"/>
        <v>0</v>
      </c>
      <c r="I37" s="143">
        <f t="shared" si="13"/>
        <v>0</v>
      </c>
      <c r="J37" s="143">
        <f t="shared" si="13"/>
        <v>0</v>
      </c>
      <c r="K37" s="143">
        <f t="shared" si="13"/>
        <v>0</v>
      </c>
      <c r="L37" s="143">
        <f t="shared" si="13"/>
        <v>0</v>
      </c>
      <c r="M37" s="143">
        <f t="shared" si="13"/>
        <v>0</v>
      </c>
      <c r="N37" s="143">
        <f t="shared" si="13"/>
        <v>0</v>
      </c>
      <c r="O37" s="143">
        <f t="shared" si="13"/>
        <v>0</v>
      </c>
      <c r="P37" s="143">
        <f>+P36+P29</f>
        <v>0</v>
      </c>
      <c r="Q37" s="143">
        <f>+Q36+Q29</f>
        <v>0</v>
      </c>
      <c r="R37" s="143">
        <f>+R36+R29</f>
        <v>0</v>
      </c>
    </row>
    <row r="38" spans="1:18" s="32" customFormat="1" ht="8.15" customHeight="1" x14ac:dyDescent="0.3">
      <c r="C38" s="108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2"/>
      <c r="Q38" s="101"/>
      <c r="R38" s="101"/>
    </row>
    <row r="39" spans="1:18" s="32" customFormat="1" ht="15" customHeight="1" x14ac:dyDescent="0.25">
      <c r="C39" s="106" t="s">
        <v>54</v>
      </c>
      <c r="D39" s="143">
        <f>+D23-D37</f>
        <v>0</v>
      </c>
      <c r="E39" s="143">
        <f>+E23-E37</f>
        <v>0</v>
      </c>
      <c r="F39" s="143">
        <f t="shared" ref="F39:O39" si="14">+F23-F37</f>
        <v>0</v>
      </c>
      <c r="G39" s="143">
        <f t="shared" si="14"/>
        <v>0</v>
      </c>
      <c r="H39" s="143">
        <f t="shared" si="14"/>
        <v>0</v>
      </c>
      <c r="I39" s="143">
        <f t="shared" si="14"/>
        <v>0</v>
      </c>
      <c r="J39" s="143">
        <f t="shared" si="14"/>
        <v>0</v>
      </c>
      <c r="K39" s="143">
        <f t="shared" si="14"/>
        <v>0</v>
      </c>
      <c r="L39" s="143">
        <f t="shared" si="14"/>
        <v>0</v>
      </c>
      <c r="M39" s="143">
        <f t="shared" si="14"/>
        <v>0</v>
      </c>
      <c r="N39" s="143">
        <f t="shared" si="14"/>
        <v>0</v>
      </c>
      <c r="O39" s="143">
        <f t="shared" si="14"/>
        <v>0</v>
      </c>
      <c r="P39" s="143">
        <f>+P23-P37</f>
        <v>0</v>
      </c>
      <c r="Q39" s="143">
        <f>+Q23-Q37</f>
        <v>0</v>
      </c>
      <c r="R39" s="143">
        <f>+R23-R37</f>
        <v>0</v>
      </c>
    </row>
    <row r="40" spans="1:18" s="32" customFormat="1" ht="15" customHeight="1" x14ac:dyDescent="0.3">
      <c r="C40" s="108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  <c r="Q40" s="101"/>
      <c r="R40" s="120"/>
    </row>
    <row r="41" spans="1:18" s="32" customFormat="1" ht="15" customHeight="1" x14ac:dyDescent="0.25">
      <c r="C41" s="103" t="s">
        <v>241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0"/>
      <c r="Q41" s="107"/>
      <c r="R41" s="119"/>
    </row>
    <row r="42" spans="1:18" s="32" customFormat="1" ht="7" customHeight="1" x14ac:dyDescent="0.25">
      <c r="C42" s="103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  <c r="Q42" s="107"/>
      <c r="R42" s="119"/>
    </row>
    <row r="43" spans="1:18" s="32" customFormat="1" ht="15" customHeight="1" x14ac:dyDescent="0.25">
      <c r="A43" s="31"/>
      <c r="B43" s="31"/>
      <c r="C43" s="103" t="s">
        <v>56</v>
      </c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  <c r="Q43" s="107"/>
      <c r="R43" s="119"/>
    </row>
    <row r="44" spans="1:18" s="32" customFormat="1" ht="15" customHeight="1" x14ac:dyDescent="0.3">
      <c r="C44" s="104" t="s">
        <v>57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144">
        <f t="shared" ref="P44:P58" si="15">SUM(D44:O44)</f>
        <v>0</v>
      </c>
      <c r="Q44" s="99"/>
      <c r="R44" s="99"/>
    </row>
    <row r="45" spans="1:18" s="32" customFormat="1" ht="15" customHeight="1" x14ac:dyDescent="0.3">
      <c r="C45" s="104" t="s">
        <v>58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144">
        <f t="shared" si="15"/>
        <v>0</v>
      </c>
      <c r="Q45" s="99"/>
      <c r="R45" s="99"/>
    </row>
    <row r="46" spans="1:18" s="32" customFormat="1" ht="15" customHeight="1" x14ac:dyDescent="0.3">
      <c r="C46" s="104" t="s">
        <v>59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144">
        <f t="shared" si="15"/>
        <v>0</v>
      </c>
      <c r="Q46" s="99"/>
      <c r="R46" s="99"/>
    </row>
    <row r="47" spans="1:18" s="32" customFormat="1" ht="15" customHeight="1" x14ac:dyDescent="0.3">
      <c r="C47" s="104" t="s">
        <v>60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144">
        <f t="shared" si="15"/>
        <v>0</v>
      </c>
      <c r="Q47" s="99"/>
      <c r="R47" s="99"/>
    </row>
    <row r="48" spans="1:18" s="32" customFormat="1" ht="15" customHeight="1" x14ac:dyDescent="0.3">
      <c r="C48" s="104" t="s">
        <v>61</v>
      </c>
      <c r="D48" s="99">
        <v>0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144">
        <f t="shared" si="15"/>
        <v>0</v>
      </c>
      <c r="Q48" s="99"/>
      <c r="R48" s="99"/>
    </row>
    <row r="49" spans="1:18" s="32" customFormat="1" ht="15" customHeight="1" x14ac:dyDescent="0.3">
      <c r="C49" s="104" t="s">
        <v>62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144">
        <f t="shared" si="15"/>
        <v>0</v>
      </c>
      <c r="Q49" s="99"/>
      <c r="R49" s="99"/>
    </row>
    <row r="50" spans="1:18" s="32" customFormat="1" ht="15" customHeight="1" x14ac:dyDescent="0.3">
      <c r="C50" s="104" t="s">
        <v>63</v>
      </c>
      <c r="D50" s="99">
        <v>0</v>
      </c>
      <c r="E50" s="99">
        <v>0</v>
      </c>
      <c r="F50" s="99">
        <v>0</v>
      </c>
      <c r="G50" s="9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144">
        <f t="shared" si="15"/>
        <v>0</v>
      </c>
      <c r="Q50" s="99"/>
      <c r="R50" s="99"/>
    </row>
    <row r="51" spans="1:18" s="32" customFormat="1" ht="15" customHeight="1" x14ac:dyDescent="0.3">
      <c r="C51" s="104" t="s">
        <v>65</v>
      </c>
      <c r="D51" s="99">
        <v>0</v>
      </c>
      <c r="E51" s="99">
        <v>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144">
        <f t="shared" si="15"/>
        <v>0</v>
      </c>
      <c r="Q51" s="99"/>
      <c r="R51" s="99"/>
    </row>
    <row r="52" spans="1:18" s="32" customFormat="1" ht="15" customHeight="1" x14ac:dyDescent="0.3">
      <c r="C52" s="104" t="s">
        <v>211</v>
      </c>
      <c r="D52" s="99">
        <v>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144">
        <f t="shared" si="15"/>
        <v>0</v>
      </c>
      <c r="Q52" s="99"/>
      <c r="R52" s="99"/>
    </row>
    <row r="53" spans="1:18" s="32" customFormat="1" ht="15" customHeight="1" x14ac:dyDescent="0.3">
      <c r="C53" s="104" t="s">
        <v>67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144">
        <f t="shared" si="15"/>
        <v>0</v>
      </c>
      <c r="Q53" s="99"/>
      <c r="R53" s="99"/>
    </row>
    <row r="54" spans="1:18" s="32" customFormat="1" ht="15" customHeight="1" x14ac:dyDescent="0.3">
      <c r="C54" s="105" t="s">
        <v>68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144">
        <f t="shared" si="15"/>
        <v>0</v>
      </c>
      <c r="Q54" s="99"/>
      <c r="R54" s="99"/>
    </row>
    <row r="55" spans="1:18" s="32" customFormat="1" ht="15" customHeight="1" x14ac:dyDescent="0.3">
      <c r="C55" s="104" t="s">
        <v>69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144">
        <f t="shared" si="15"/>
        <v>0</v>
      </c>
      <c r="Q55" s="99"/>
      <c r="R55" s="99"/>
    </row>
    <row r="56" spans="1:18" s="32" customFormat="1" ht="15" customHeight="1" x14ac:dyDescent="0.3">
      <c r="C56" s="104" t="s">
        <v>70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144">
        <f t="shared" si="15"/>
        <v>0</v>
      </c>
      <c r="Q56" s="99"/>
      <c r="R56" s="99"/>
    </row>
    <row r="57" spans="1:18" s="32" customFormat="1" ht="15" customHeight="1" x14ac:dyDescent="0.3">
      <c r="C57" s="104" t="s">
        <v>71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144">
        <f t="shared" si="15"/>
        <v>0</v>
      </c>
      <c r="Q57" s="99"/>
      <c r="R57" s="99"/>
    </row>
    <row r="58" spans="1:18" s="32" customFormat="1" ht="15" customHeight="1" x14ac:dyDescent="0.3">
      <c r="C58" s="104" t="s">
        <v>212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144">
        <f t="shared" si="15"/>
        <v>0</v>
      </c>
      <c r="Q58" s="99"/>
      <c r="R58" s="99"/>
    </row>
    <row r="59" spans="1:18" s="32" customFormat="1" ht="15" customHeight="1" x14ac:dyDescent="0.25">
      <c r="C59" s="106" t="s">
        <v>73</v>
      </c>
      <c r="D59" s="143">
        <f>SUM(D44:D58)</f>
        <v>0</v>
      </c>
      <c r="E59" s="143">
        <f t="shared" ref="D59:R59" si="16">SUM(E44:E58)</f>
        <v>0</v>
      </c>
      <c r="F59" s="143">
        <f t="shared" si="16"/>
        <v>0</v>
      </c>
      <c r="G59" s="143">
        <f t="shared" si="16"/>
        <v>0</v>
      </c>
      <c r="H59" s="143">
        <f t="shared" si="16"/>
        <v>0</v>
      </c>
      <c r="I59" s="143">
        <f t="shared" si="16"/>
        <v>0</v>
      </c>
      <c r="J59" s="143">
        <f t="shared" si="16"/>
        <v>0</v>
      </c>
      <c r="K59" s="143">
        <f t="shared" si="16"/>
        <v>0</v>
      </c>
      <c r="L59" s="143">
        <f t="shared" si="16"/>
        <v>0</v>
      </c>
      <c r="M59" s="143">
        <f t="shared" si="16"/>
        <v>0</v>
      </c>
      <c r="N59" s="143">
        <f t="shared" si="16"/>
        <v>0</v>
      </c>
      <c r="O59" s="143">
        <f t="shared" si="16"/>
        <v>0</v>
      </c>
      <c r="P59" s="143">
        <f>SUM(P44:P58)</f>
        <v>0</v>
      </c>
      <c r="Q59" s="143">
        <f>SUM(Q44:Q58)</f>
        <v>0</v>
      </c>
      <c r="R59" s="143">
        <f t="shared" si="16"/>
        <v>0</v>
      </c>
    </row>
    <row r="60" spans="1:18" s="32" customFormat="1" ht="15" customHeight="1" x14ac:dyDescent="0.25">
      <c r="C60" s="106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00"/>
      <c r="Q60" s="100"/>
      <c r="R60" s="118"/>
    </row>
    <row r="61" spans="1:18" s="32" customFormat="1" ht="15" customHeight="1" x14ac:dyDescent="0.25">
      <c r="A61" s="31"/>
      <c r="B61" s="31"/>
      <c r="C61" s="103" t="s">
        <v>237</v>
      </c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100"/>
      <c r="Q61" s="107"/>
      <c r="R61" s="119"/>
    </row>
    <row r="62" spans="1:18" s="32" customFormat="1" ht="15" customHeight="1" x14ac:dyDescent="0.3">
      <c r="C62" s="104" t="s">
        <v>75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144">
        <f>SUM(D62:O62)</f>
        <v>0</v>
      </c>
      <c r="Q62" s="99"/>
      <c r="R62" s="99"/>
    </row>
    <row r="63" spans="1:18" s="32" customFormat="1" ht="15" customHeight="1" x14ac:dyDescent="0.3">
      <c r="C63" s="104" t="s">
        <v>213</v>
      </c>
      <c r="D63" s="99">
        <v>0</v>
      </c>
      <c r="E63" s="99">
        <v>0</v>
      </c>
      <c r="F63" s="99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144">
        <f t="shared" ref="P62:P67" si="17">SUM(D63:O63)</f>
        <v>0</v>
      </c>
      <c r="Q63" s="99"/>
      <c r="R63" s="99"/>
    </row>
    <row r="64" spans="1:18" s="32" customFormat="1" ht="15" customHeight="1" x14ac:dyDescent="0.3">
      <c r="C64" s="104" t="s">
        <v>238</v>
      </c>
      <c r="D64" s="99">
        <v>0</v>
      </c>
      <c r="E64" s="99">
        <v>0</v>
      </c>
      <c r="F64" s="99">
        <v>0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144">
        <f t="shared" si="17"/>
        <v>0</v>
      </c>
      <c r="Q64" s="99"/>
      <c r="R64" s="99"/>
    </row>
    <row r="65" spans="1:19" s="32" customFormat="1" ht="15" customHeight="1" x14ac:dyDescent="0.3">
      <c r="C65" s="104" t="s">
        <v>78</v>
      </c>
      <c r="D65" s="99">
        <v>0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144">
        <f t="shared" si="17"/>
        <v>0</v>
      </c>
      <c r="Q65" s="99"/>
      <c r="R65" s="99"/>
    </row>
    <row r="66" spans="1:19" s="32" customFormat="1" ht="15" customHeight="1" x14ac:dyDescent="0.3">
      <c r="C66" s="104" t="s">
        <v>239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144">
        <f t="shared" si="17"/>
        <v>0</v>
      </c>
      <c r="Q66" s="99"/>
      <c r="R66" s="99"/>
    </row>
    <row r="67" spans="1:19" s="32" customFormat="1" ht="15" customHeight="1" x14ac:dyDescent="0.3">
      <c r="C67" s="104" t="s">
        <v>79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144">
        <f t="shared" si="17"/>
        <v>0</v>
      </c>
      <c r="Q67" s="99"/>
      <c r="R67" s="99"/>
    </row>
    <row r="68" spans="1:19" s="32" customFormat="1" ht="15" customHeight="1" x14ac:dyDescent="0.25">
      <c r="C68" s="106" t="s">
        <v>242</v>
      </c>
      <c r="D68" s="143">
        <f>SUM(D62:D67)</f>
        <v>0</v>
      </c>
      <c r="E68" s="143">
        <f t="shared" ref="D68:Q68" si="18">SUM(E62:E67)</f>
        <v>0</v>
      </c>
      <c r="F68" s="143">
        <f t="shared" si="18"/>
        <v>0</v>
      </c>
      <c r="G68" s="143">
        <f t="shared" si="18"/>
        <v>0</v>
      </c>
      <c r="H68" s="143">
        <f t="shared" si="18"/>
        <v>0</v>
      </c>
      <c r="I68" s="143">
        <f t="shared" si="18"/>
        <v>0</v>
      </c>
      <c r="J68" s="143">
        <f t="shared" si="18"/>
        <v>0</v>
      </c>
      <c r="K68" s="143">
        <f t="shared" si="18"/>
        <v>0</v>
      </c>
      <c r="L68" s="143">
        <f t="shared" si="18"/>
        <v>0</v>
      </c>
      <c r="M68" s="143">
        <f t="shared" si="18"/>
        <v>0</v>
      </c>
      <c r="N68" s="143">
        <f t="shared" si="18"/>
        <v>0</v>
      </c>
      <c r="O68" s="143">
        <f t="shared" si="18"/>
        <v>0</v>
      </c>
      <c r="P68" s="143">
        <f>SUM(P62:P67)</f>
        <v>0</v>
      </c>
      <c r="Q68" s="143">
        <f t="shared" si="18"/>
        <v>0</v>
      </c>
      <c r="R68" s="143">
        <f>SUM(R62:R67)</f>
        <v>0</v>
      </c>
    </row>
    <row r="69" spans="1:19" s="32" customFormat="1" ht="15" customHeight="1" x14ac:dyDescent="0.25">
      <c r="C69" s="106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  <c r="Q69" s="100"/>
      <c r="R69" s="118"/>
    </row>
    <row r="70" spans="1:19" s="32" customFormat="1" ht="15" customHeight="1" x14ac:dyDescent="0.25">
      <c r="A70" s="31"/>
      <c r="B70" s="31"/>
      <c r="C70" s="103" t="s">
        <v>81</v>
      </c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  <c r="Q70" s="107"/>
      <c r="R70" s="119"/>
    </row>
    <row r="71" spans="1:19" s="32" customFormat="1" ht="15" customHeight="1" x14ac:dyDescent="0.3">
      <c r="C71" s="104" t="s">
        <v>82</v>
      </c>
      <c r="D71" s="99">
        <f>SUM('Staff 24-25'!C4:C6)*0.03</f>
        <v>0</v>
      </c>
      <c r="E71" s="99">
        <f>SUM('Staff 24-25'!D4:D6)*0.03</f>
        <v>0</v>
      </c>
      <c r="F71" s="99">
        <f>SUM('Staff 24-25'!E4:E6)*0.03</f>
        <v>0</v>
      </c>
      <c r="G71" s="99">
        <f>SUM('Staff 24-25'!F4:F6)*0.03</f>
        <v>0</v>
      </c>
      <c r="H71" s="99">
        <f>SUM('Staff 24-25'!G4:G6)*0.03</f>
        <v>0</v>
      </c>
      <c r="I71" s="99">
        <f>SUM('Staff 24-25'!H4:H6)*0.03</f>
        <v>0</v>
      </c>
      <c r="J71" s="99">
        <f>SUM('Staff 24-25'!I4:I6)*0.03</f>
        <v>0</v>
      </c>
      <c r="K71" s="99">
        <f>SUM('Staff 24-25'!J4:J6)*0.03</f>
        <v>0</v>
      </c>
      <c r="L71" s="99">
        <f>SUM('Staff 24-25'!K4:K6)*0.03</f>
        <v>0</v>
      </c>
      <c r="M71" s="99">
        <f>SUM('Staff 24-25'!L4:L6)*0.03</f>
        <v>0</v>
      </c>
      <c r="N71" s="99">
        <f>SUM('Staff 24-25'!M4:M6)*0.03</f>
        <v>0</v>
      </c>
      <c r="O71" s="99">
        <f>SUM('Staff 24-25'!N4:N6)*0.03</f>
        <v>0</v>
      </c>
      <c r="P71" s="144">
        <f t="shared" ref="P71:P74" si="19">SUM(D71:O71)</f>
        <v>0</v>
      </c>
      <c r="Q71" s="99"/>
      <c r="R71" s="99"/>
    </row>
    <row r="72" spans="1:19" s="32" customFormat="1" ht="15" customHeight="1" x14ac:dyDescent="0.3">
      <c r="C72" s="104" t="s">
        <v>214</v>
      </c>
      <c r="D72" s="99">
        <v>0</v>
      </c>
      <c r="E72" s="99">
        <v>0</v>
      </c>
      <c r="F72" s="99">
        <v>0</v>
      </c>
      <c r="G72" s="99">
        <v>0</v>
      </c>
      <c r="H72" s="99">
        <v>0</v>
      </c>
      <c r="I72" s="99">
        <v>0</v>
      </c>
      <c r="J72" s="99">
        <v>0</v>
      </c>
      <c r="K72" s="99">
        <v>0</v>
      </c>
      <c r="L72" s="99">
        <v>0</v>
      </c>
      <c r="M72" s="99">
        <v>0</v>
      </c>
      <c r="N72" s="99">
        <v>0</v>
      </c>
      <c r="O72" s="99">
        <v>0</v>
      </c>
      <c r="P72" s="144">
        <f t="shared" si="19"/>
        <v>0</v>
      </c>
      <c r="Q72" s="99"/>
      <c r="R72" s="99"/>
    </row>
    <row r="73" spans="1:19" s="32" customFormat="1" ht="15" customHeight="1" x14ac:dyDescent="0.3">
      <c r="C73" s="104" t="s">
        <v>215</v>
      </c>
      <c r="D73" s="99">
        <v>0</v>
      </c>
      <c r="E73" s="99">
        <v>0</v>
      </c>
      <c r="F73" s="99">
        <v>0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144">
        <f t="shared" si="19"/>
        <v>0</v>
      </c>
      <c r="Q73" s="99"/>
      <c r="R73" s="99"/>
    </row>
    <row r="74" spans="1:19" s="32" customFormat="1" ht="15" customHeight="1" x14ac:dyDescent="0.3">
      <c r="C74" s="104" t="s">
        <v>86</v>
      </c>
      <c r="D74" s="145">
        <f>+'Staff 24-25'!D8</f>
        <v>0</v>
      </c>
      <c r="E74" s="145">
        <f>+'Staff 24-25'!E8</f>
        <v>0</v>
      </c>
      <c r="F74" s="145">
        <f>+'Staff 24-25'!F8</f>
        <v>0</v>
      </c>
      <c r="G74" s="145">
        <f>+'Staff 24-25'!G8</f>
        <v>0</v>
      </c>
      <c r="H74" s="145">
        <f>+'Staff 24-25'!H8</f>
        <v>0</v>
      </c>
      <c r="I74" s="145">
        <f>+'Staff 24-25'!I8</f>
        <v>0</v>
      </c>
      <c r="J74" s="145">
        <f>+'Staff 24-25'!J8</f>
        <v>0</v>
      </c>
      <c r="K74" s="145">
        <f>+'Staff 24-25'!K8</f>
        <v>0</v>
      </c>
      <c r="L74" s="145">
        <f>+'Staff 24-25'!L8</f>
        <v>0</v>
      </c>
      <c r="M74" s="145">
        <f>+'Staff 24-25'!M8</f>
        <v>0</v>
      </c>
      <c r="N74" s="145">
        <f>+'Staff 24-25'!N8</f>
        <v>0</v>
      </c>
      <c r="O74" s="145">
        <f>+'Staff 24-25'!O8</f>
        <v>0</v>
      </c>
      <c r="P74" s="144">
        <f t="shared" si="19"/>
        <v>0</v>
      </c>
      <c r="Q74" s="99"/>
      <c r="R74" s="99"/>
      <c r="S74" s="32" t="s">
        <v>245</v>
      </c>
    </row>
    <row r="75" spans="1:19" s="32" customFormat="1" ht="15" customHeight="1" x14ac:dyDescent="0.25">
      <c r="C75" s="106" t="s">
        <v>87</v>
      </c>
      <c r="D75" s="143">
        <f>SUM(D71:D74)</f>
        <v>0</v>
      </c>
      <c r="E75" s="143">
        <f t="shared" ref="D75:R75" si="20">SUM(E71:E74)</f>
        <v>0</v>
      </c>
      <c r="F75" s="143">
        <f t="shared" si="20"/>
        <v>0</v>
      </c>
      <c r="G75" s="143">
        <f t="shared" si="20"/>
        <v>0</v>
      </c>
      <c r="H75" s="143">
        <f t="shared" si="20"/>
        <v>0</v>
      </c>
      <c r="I75" s="143">
        <f t="shared" si="20"/>
        <v>0</v>
      </c>
      <c r="J75" s="143">
        <f t="shared" si="20"/>
        <v>0</v>
      </c>
      <c r="K75" s="143">
        <f t="shared" si="20"/>
        <v>0</v>
      </c>
      <c r="L75" s="143">
        <f t="shared" si="20"/>
        <v>0</v>
      </c>
      <c r="M75" s="143">
        <f t="shared" si="20"/>
        <v>0</v>
      </c>
      <c r="N75" s="143">
        <f t="shared" si="20"/>
        <v>0</v>
      </c>
      <c r="O75" s="143">
        <f t="shared" si="20"/>
        <v>0</v>
      </c>
      <c r="P75" s="143">
        <f t="shared" si="20"/>
        <v>0</v>
      </c>
      <c r="Q75" s="143">
        <f t="shared" si="20"/>
        <v>0</v>
      </c>
      <c r="R75" s="143">
        <f t="shared" si="20"/>
        <v>0</v>
      </c>
    </row>
    <row r="76" spans="1:19" s="32" customFormat="1" ht="15" customHeight="1" x14ac:dyDescent="0.25">
      <c r="C76" s="106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</row>
    <row r="77" spans="1:19" s="32" customFormat="1" ht="15" customHeight="1" x14ac:dyDescent="0.25">
      <c r="C77" s="106" t="s">
        <v>243</v>
      </c>
      <c r="D77" s="146">
        <f>+D75+D68+D59</f>
        <v>0</v>
      </c>
      <c r="E77" s="146">
        <f t="shared" ref="E77:O77" si="21">+E75+E68+E59</f>
        <v>0</v>
      </c>
      <c r="F77" s="146">
        <f t="shared" si="21"/>
        <v>0</v>
      </c>
      <c r="G77" s="146">
        <f t="shared" si="21"/>
        <v>0</v>
      </c>
      <c r="H77" s="146">
        <f t="shared" si="21"/>
        <v>0</v>
      </c>
      <c r="I77" s="146">
        <f t="shared" si="21"/>
        <v>0</v>
      </c>
      <c r="J77" s="146">
        <f t="shared" si="21"/>
        <v>0</v>
      </c>
      <c r="K77" s="146">
        <f t="shared" si="21"/>
        <v>0</v>
      </c>
      <c r="L77" s="146">
        <f t="shared" si="21"/>
        <v>0</v>
      </c>
      <c r="M77" s="146">
        <f t="shared" si="21"/>
        <v>0</v>
      </c>
      <c r="N77" s="146">
        <f t="shared" si="21"/>
        <v>0</v>
      </c>
      <c r="O77" s="146">
        <f>+O75+O68+O59</f>
        <v>0</v>
      </c>
      <c r="P77" s="146">
        <f>+P75+P68+P59</f>
        <v>0</v>
      </c>
      <c r="Q77" s="146">
        <f>+Q75+Q68+Q59</f>
        <v>0</v>
      </c>
      <c r="R77" s="146">
        <f>+R75+R68+R59</f>
        <v>0</v>
      </c>
    </row>
    <row r="78" spans="1:19" s="32" customFormat="1" ht="15" customHeight="1" x14ac:dyDescent="0.25">
      <c r="C78" s="106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100"/>
      <c r="Q78" s="100"/>
      <c r="R78" s="100"/>
    </row>
    <row r="79" spans="1:19" s="32" customFormat="1" ht="15" customHeight="1" x14ac:dyDescent="0.25">
      <c r="C79" s="106" t="s">
        <v>244</v>
      </c>
      <c r="D79" s="143">
        <f>+D39-D77</f>
        <v>0</v>
      </c>
      <c r="E79" s="143">
        <f t="shared" ref="D79:R79" si="22">+E39-E77</f>
        <v>0</v>
      </c>
      <c r="F79" s="143">
        <f t="shared" si="22"/>
        <v>0</v>
      </c>
      <c r="G79" s="143">
        <f t="shared" si="22"/>
        <v>0</v>
      </c>
      <c r="H79" s="143">
        <f t="shared" si="22"/>
        <v>0</v>
      </c>
      <c r="I79" s="143">
        <f t="shared" si="22"/>
        <v>0</v>
      </c>
      <c r="J79" s="143">
        <f t="shared" si="22"/>
        <v>0</v>
      </c>
      <c r="K79" s="143">
        <f t="shared" si="22"/>
        <v>0</v>
      </c>
      <c r="L79" s="143">
        <f t="shared" si="22"/>
        <v>0</v>
      </c>
      <c r="M79" s="143">
        <f t="shared" si="22"/>
        <v>0</v>
      </c>
      <c r="N79" s="143">
        <f t="shared" si="22"/>
        <v>0</v>
      </c>
      <c r="O79" s="143">
        <f t="shared" si="22"/>
        <v>0</v>
      </c>
      <c r="P79" s="143">
        <f>+P39-P77</f>
        <v>0</v>
      </c>
      <c r="Q79" s="143">
        <f>+Q39-Q77</f>
        <v>0</v>
      </c>
      <c r="R79" s="143">
        <f t="shared" si="22"/>
        <v>0</v>
      </c>
    </row>
    <row r="80" spans="1:19" s="32" customFormat="1" ht="14.5" customHeight="1" x14ac:dyDescent="0.25">
      <c r="C80" s="106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0"/>
      <c r="Q80" s="100"/>
      <c r="R80" s="118"/>
    </row>
    <row r="81" spans="1:18" s="32" customFormat="1" ht="15" customHeight="1" x14ac:dyDescent="0.25">
      <c r="A81" s="31"/>
      <c r="B81" s="31"/>
      <c r="C81" s="103" t="s">
        <v>88</v>
      </c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100"/>
      <c r="Q81" s="107"/>
      <c r="R81" s="119"/>
    </row>
    <row r="82" spans="1:18" s="32" customFormat="1" ht="15" customHeight="1" x14ac:dyDescent="0.3">
      <c r="C82" s="104" t="s">
        <v>91</v>
      </c>
      <c r="D82" s="99">
        <v>0</v>
      </c>
      <c r="E82" s="99">
        <v>0</v>
      </c>
      <c r="F82" s="99">
        <v>0</v>
      </c>
      <c r="G82" s="99">
        <v>0</v>
      </c>
      <c r="H82" s="99">
        <v>0</v>
      </c>
      <c r="I82" s="99">
        <v>0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144">
        <f>SUM(D82:O82)</f>
        <v>0</v>
      </c>
      <c r="Q82" s="99"/>
      <c r="R82" s="99"/>
    </row>
    <row r="83" spans="1:18" s="32" customFormat="1" ht="15" customHeight="1" x14ac:dyDescent="0.3">
      <c r="C83" s="104" t="s">
        <v>217</v>
      </c>
      <c r="D83" s="99">
        <v>0</v>
      </c>
      <c r="E83" s="99">
        <v>0</v>
      </c>
      <c r="F83" s="99">
        <v>0</v>
      </c>
      <c r="G83" s="99">
        <v>0</v>
      </c>
      <c r="H83" s="99">
        <v>0</v>
      </c>
      <c r="I83" s="99">
        <v>0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v>0</v>
      </c>
      <c r="P83" s="144">
        <f t="shared" ref="P82:P84" si="23">SUM(D83:O83)</f>
        <v>0</v>
      </c>
      <c r="Q83" s="99"/>
      <c r="R83" s="99"/>
    </row>
    <row r="84" spans="1:18" s="32" customFormat="1" ht="15" customHeight="1" x14ac:dyDescent="0.3">
      <c r="C84" s="104" t="s">
        <v>216</v>
      </c>
      <c r="D84" s="99">
        <v>0</v>
      </c>
      <c r="E84" s="99">
        <v>0</v>
      </c>
      <c r="F84" s="99">
        <v>0</v>
      </c>
      <c r="G84" s="99">
        <v>0</v>
      </c>
      <c r="H84" s="99">
        <v>0</v>
      </c>
      <c r="I84" s="99">
        <v>0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v>0</v>
      </c>
      <c r="P84" s="144">
        <f t="shared" si="23"/>
        <v>0</v>
      </c>
      <c r="Q84" s="99"/>
      <c r="R84" s="99"/>
    </row>
    <row r="85" spans="1:18" s="32" customFormat="1" ht="15" customHeight="1" x14ac:dyDescent="0.25">
      <c r="C85" s="106" t="s">
        <v>93</v>
      </c>
      <c r="D85" s="143">
        <f>SUM(D82:D84)</f>
        <v>0</v>
      </c>
      <c r="E85" s="143">
        <f t="shared" ref="D85:R85" si="24">SUM(E82:E84)</f>
        <v>0</v>
      </c>
      <c r="F85" s="143">
        <f t="shared" si="24"/>
        <v>0</v>
      </c>
      <c r="G85" s="143">
        <f t="shared" si="24"/>
        <v>0</v>
      </c>
      <c r="H85" s="143">
        <f t="shared" si="24"/>
        <v>0</v>
      </c>
      <c r="I85" s="143">
        <f t="shared" si="24"/>
        <v>0</v>
      </c>
      <c r="J85" s="143">
        <f t="shared" si="24"/>
        <v>0</v>
      </c>
      <c r="K85" s="143">
        <f t="shared" si="24"/>
        <v>0</v>
      </c>
      <c r="L85" s="143">
        <f t="shared" si="24"/>
        <v>0</v>
      </c>
      <c r="M85" s="143">
        <f t="shared" si="24"/>
        <v>0</v>
      </c>
      <c r="N85" s="143">
        <f t="shared" si="24"/>
        <v>0</v>
      </c>
      <c r="O85" s="143">
        <f t="shared" si="24"/>
        <v>0</v>
      </c>
      <c r="P85" s="143">
        <f t="shared" si="24"/>
        <v>0</v>
      </c>
      <c r="Q85" s="143">
        <f>SUM(Q82:Q84)</f>
        <v>0</v>
      </c>
      <c r="R85" s="143">
        <f t="shared" si="24"/>
        <v>0</v>
      </c>
    </row>
    <row r="86" spans="1:18" s="32" customFormat="1" ht="15" customHeight="1" x14ac:dyDescent="0.3">
      <c r="C86" s="47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2"/>
      <c r="Q86" s="50"/>
      <c r="R86" s="48"/>
    </row>
    <row r="87" spans="1:18" s="32" customFormat="1" ht="15" customHeight="1" x14ac:dyDescent="0.25">
      <c r="C87" s="53" t="s">
        <v>95</v>
      </c>
      <c r="D87" s="143">
        <f>+D79-D85</f>
        <v>0</v>
      </c>
      <c r="E87" s="143">
        <f t="shared" ref="E87:O87" si="25">+E79-E85</f>
        <v>0</v>
      </c>
      <c r="F87" s="143">
        <f t="shared" si="25"/>
        <v>0</v>
      </c>
      <c r="G87" s="143">
        <f t="shared" si="25"/>
        <v>0</v>
      </c>
      <c r="H87" s="143">
        <f t="shared" si="25"/>
        <v>0</v>
      </c>
      <c r="I87" s="143">
        <f t="shared" si="25"/>
        <v>0</v>
      </c>
      <c r="J87" s="143">
        <f t="shared" si="25"/>
        <v>0</v>
      </c>
      <c r="K87" s="143">
        <f t="shared" si="25"/>
        <v>0</v>
      </c>
      <c r="L87" s="143">
        <f t="shared" si="25"/>
        <v>0</v>
      </c>
      <c r="M87" s="143">
        <f t="shared" si="25"/>
        <v>0</v>
      </c>
      <c r="N87" s="143">
        <f t="shared" si="25"/>
        <v>0</v>
      </c>
      <c r="O87" s="143">
        <f t="shared" si="25"/>
        <v>0</v>
      </c>
      <c r="P87" s="143">
        <f>+P79-P85</f>
        <v>0</v>
      </c>
      <c r="Q87" s="143">
        <f>+Q79-Q85</f>
        <v>0</v>
      </c>
      <c r="R87" s="143">
        <f>+R79-R85</f>
        <v>0</v>
      </c>
    </row>
    <row r="89" spans="1:18" x14ac:dyDescent="0.3"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</row>
    <row r="90" spans="1:18" x14ac:dyDescent="0.3"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</row>
  </sheetData>
  <pageMargins left="0.11811023622047245" right="0.11811023622047245" top="0.59055118110236227" bottom="0.15748031496062992" header="0.31496062992125984" footer="0.31496062992125984"/>
  <pageSetup paperSize="8" scale="74" fitToHeight="2" orientation="landscape" r:id="rId1"/>
  <rowBreaks count="2" manualBreakCount="2">
    <brk id="29" min="1" max="29" man="1"/>
    <brk id="69" min="1" max="29" man="1"/>
  </rowBreaks>
  <ignoredErrors>
    <ignoredError sqref="P32:P34 P30 P86 P67 P14:P16 P18:P19 P69:P74 P24:P28 P6:P8 P38 P78 P60:P61 P20:P22 P40:P58 P63:P65 P80:P81 P83:P8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FA03-5998-4D8D-BBDF-B0BFFFCDD402}">
  <sheetPr>
    <pageSetUpPr fitToPage="1"/>
  </sheetPr>
  <dimension ref="A1:G88"/>
  <sheetViews>
    <sheetView topLeftCell="B1" zoomScale="90" zoomScaleNormal="90" workbookViewId="0">
      <pane xSplit="2" ySplit="4" topLeftCell="D5" activePane="bottomRight" state="frozen"/>
      <selection activeCell="C20" sqref="C20"/>
      <selection pane="topRight" activeCell="C20" sqref="C20"/>
      <selection pane="bottomLeft" activeCell="C20" sqref="C20"/>
      <selection pane="bottomRight" activeCell="D88" sqref="D88:E88"/>
    </sheetView>
  </sheetViews>
  <sheetFormatPr defaultRowHeight="14" x14ac:dyDescent="0.3"/>
  <cols>
    <col min="1" max="1" width="1" customWidth="1"/>
    <col min="2" max="2" width="2.81640625" customWidth="1"/>
    <col min="3" max="3" width="51.7265625" customWidth="1"/>
    <col min="4" max="4" width="14" customWidth="1"/>
    <col min="5" max="5" width="13.7265625" style="20" customWidth="1"/>
    <col min="6" max="6" width="12.54296875" style="109" customWidth="1"/>
    <col min="7" max="7" width="74.6328125" style="128" customWidth="1"/>
  </cols>
  <sheetData>
    <row r="1" spans="1:7" ht="40" customHeight="1" x14ac:dyDescent="0.3">
      <c r="C1" s="111" t="s">
        <v>182</v>
      </c>
      <c r="D1" s="1"/>
      <c r="E1" s="1"/>
    </row>
    <row r="2" spans="1:7" ht="18" customHeight="1" x14ac:dyDescent="0.3">
      <c r="C2" s="3"/>
      <c r="D2" s="2"/>
      <c r="E2" s="3"/>
    </row>
    <row r="3" spans="1:7" ht="7.5" customHeight="1" x14ac:dyDescent="0.4">
      <c r="C3" s="77"/>
      <c r="D3" s="2"/>
      <c r="E3" s="3"/>
    </row>
    <row r="4" spans="1:7" s="5" customFormat="1" ht="50.25" customHeight="1" x14ac:dyDescent="0.25">
      <c r="A4" s="4"/>
      <c r="B4" s="4"/>
      <c r="C4" s="83" t="s">
        <v>2</v>
      </c>
      <c r="D4" s="75" t="s">
        <v>240</v>
      </c>
      <c r="E4" s="75" t="s">
        <v>192</v>
      </c>
      <c r="F4" s="147" t="s">
        <v>184</v>
      </c>
      <c r="G4" s="83" t="s">
        <v>179</v>
      </c>
    </row>
    <row r="5" spans="1:7" ht="17.5" customHeight="1" x14ac:dyDescent="0.3">
      <c r="C5" s="103" t="s">
        <v>225</v>
      </c>
      <c r="D5" s="103"/>
      <c r="E5" s="126"/>
      <c r="F5" s="148"/>
      <c r="G5" s="129"/>
    </row>
    <row r="6" spans="1:7" s="32" customFormat="1" ht="15" customHeight="1" x14ac:dyDescent="0.3">
      <c r="A6" s="31"/>
      <c r="B6" s="31"/>
      <c r="C6" s="103" t="s">
        <v>194</v>
      </c>
      <c r="D6" s="103"/>
      <c r="E6" s="103"/>
      <c r="F6" s="148"/>
      <c r="G6" s="129"/>
    </row>
    <row r="7" spans="1:7" s="32" customFormat="1" ht="15" customHeight="1" x14ac:dyDescent="0.3">
      <c r="C7" s="104" t="s">
        <v>208</v>
      </c>
      <c r="D7" s="145">
        <f>'Budget 24-25 Monthly'!R6</f>
        <v>0</v>
      </c>
      <c r="E7" s="145">
        <f>'Budget 24-25 Monthly'!Q6</f>
        <v>0</v>
      </c>
      <c r="F7" s="144">
        <f>+'Budget 24-25 Monthly'!P6</f>
        <v>0</v>
      </c>
      <c r="G7" s="108"/>
    </row>
    <row r="8" spans="1:7" s="32" customFormat="1" x14ac:dyDescent="0.3">
      <c r="C8" s="104" t="s">
        <v>207</v>
      </c>
      <c r="D8" s="145">
        <f>'Budget 24-25 Monthly'!R7</f>
        <v>0</v>
      </c>
      <c r="E8" s="145">
        <f>'Budget 24-25 Monthly'!Q7</f>
        <v>0</v>
      </c>
      <c r="F8" s="144">
        <f>+'Budget 24-25 Monthly'!P7</f>
        <v>0</v>
      </c>
      <c r="G8" s="131"/>
    </row>
    <row r="9" spans="1:7" s="32" customFormat="1" ht="15" customHeight="1" x14ac:dyDescent="0.3">
      <c r="C9" s="105" t="s">
        <v>218</v>
      </c>
      <c r="D9" s="145">
        <f>'Budget 24-25 Monthly'!R8</f>
        <v>0</v>
      </c>
      <c r="E9" s="145">
        <f>'Budget 24-25 Monthly'!Q8</f>
        <v>0</v>
      </c>
      <c r="F9" s="144">
        <f>+'Budget 24-25 Monthly'!P7</f>
        <v>0</v>
      </c>
      <c r="G9" s="129"/>
    </row>
    <row r="10" spans="1:7" s="32" customFormat="1" ht="15" customHeight="1" x14ac:dyDescent="0.3">
      <c r="C10" s="106" t="s">
        <v>221</v>
      </c>
      <c r="D10" s="143">
        <f>SUM(D7:D9)</f>
        <v>0</v>
      </c>
      <c r="E10" s="143">
        <f>SUM(E7:E9)</f>
        <v>0</v>
      </c>
      <c r="F10" s="143">
        <f>SUM(F7:F9)</f>
        <v>0</v>
      </c>
      <c r="G10" s="129"/>
    </row>
    <row r="11" spans="1:7" s="32" customFormat="1" ht="15" customHeight="1" x14ac:dyDescent="0.3">
      <c r="A11" s="31"/>
      <c r="B11" s="31"/>
      <c r="C11" s="103" t="s">
        <v>3</v>
      </c>
      <c r="D11" s="107"/>
      <c r="E11" s="107"/>
      <c r="F11" s="143"/>
      <c r="G11" s="129"/>
    </row>
    <row r="12" spans="1:7" s="32" customFormat="1" x14ac:dyDescent="0.3">
      <c r="C12" s="104" t="s">
        <v>222</v>
      </c>
      <c r="D12" s="145">
        <f>'Budget 24-25 Monthly'!R11</f>
        <v>0</v>
      </c>
      <c r="E12" s="145">
        <f>'Budget 24-25 Monthly'!Q11</f>
        <v>0</v>
      </c>
      <c r="F12" s="144">
        <f>+'Budget 24-25 Monthly'!P15</f>
        <v>0</v>
      </c>
      <c r="G12" s="113"/>
    </row>
    <row r="13" spans="1:7" s="32" customFormat="1" ht="15" customHeight="1" x14ac:dyDescent="0.3">
      <c r="C13" s="104" t="s">
        <v>223</v>
      </c>
      <c r="D13" s="145">
        <f>'Budget 24-25 Monthly'!R12</f>
        <v>0</v>
      </c>
      <c r="E13" s="145">
        <f>'Budget 24-25 Monthly'!Q12</f>
        <v>0</v>
      </c>
      <c r="F13" s="144">
        <f>+'Budget 24-25 Monthly'!P16</f>
        <v>0</v>
      </c>
      <c r="G13" s="129"/>
    </row>
    <row r="14" spans="1:7" s="32" customFormat="1" ht="15" customHeight="1" x14ac:dyDescent="0.3">
      <c r="C14" s="134" t="s">
        <v>30</v>
      </c>
      <c r="D14" s="143">
        <f>D12+D13</f>
        <v>0</v>
      </c>
      <c r="E14" s="143">
        <f>E12+E13</f>
        <v>0</v>
      </c>
      <c r="F14" s="144">
        <f>SUM(F12:F13)</f>
        <v>0</v>
      </c>
      <c r="G14" s="129"/>
    </row>
    <row r="15" spans="1:7" s="32" customFormat="1" ht="15" customHeight="1" x14ac:dyDescent="0.3">
      <c r="C15" s="134" t="s">
        <v>12</v>
      </c>
      <c r="D15" s="99"/>
      <c r="E15" s="99"/>
      <c r="F15" s="144"/>
      <c r="G15" s="129"/>
    </row>
    <row r="16" spans="1:7" s="32" customFormat="1" ht="15" customHeight="1" x14ac:dyDescent="0.3">
      <c r="C16" s="104" t="s">
        <v>209</v>
      </c>
      <c r="D16" s="145">
        <f>'Budget 24-25 Monthly'!R15</f>
        <v>0</v>
      </c>
      <c r="E16" s="145">
        <f>'Budget 24-25 Monthly'!Q15</f>
        <v>0</v>
      </c>
      <c r="F16" s="144">
        <f>'Budget 24-25 Monthly'!P15</f>
        <v>0</v>
      </c>
      <c r="G16" s="108"/>
    </row>
    <row r="17" spans="1:7" s="32" customFormat="1" ht="15" customHeight="1" x14ac:dyDescent="0.3">
      <c r="C17" s="104" t="s">
        <v>210</v>
      </c>
      <c r="D17" s="145">
        <f>'Budget 24-25 Monthly'!R16</f>
        <v>0</v>
      </c>
      <c r="E17" s="145">
        <f>'Budget 24-25 Monthly'!Q16</f>
        <v>0</v>
      </c>
      <c r="F17" s="144">
        <f>'Budget 24-25 Monthly'!P16</f>
        <v>0</v>
      </c>
      <c r="G17" s="129"/>
    </row>
    <row r="18" spans="1:7" s="32" customFormat="1" ht="15" customHeight="1" x14ac:dyDescent="0.3">
      <c r="C18" s="106" t="s">
        <v>18</v>
      </c>
      <c r="D18" s="143">
        <f>SUM(D12:D17)</f>
        <v>0</v>
      </c>
      <c r="E18" s="143">
        <f>SUM(E12:E17)</f>
        <v>0</v>
      </c>
      <c r="F18" s="143">
        <f>SUM(F12:F17)</f>
        <v>0</v>
      </c>
      <c r="G18" s="129"/>
    </row>
    <row r="19" spans="1:7" s="32" customFormat="1" ht="15" customHeight="1" x14ac:dyDescent="0.3">
      <c r="A19" s="31"/>
      <c r="B19" s="31"/>
      <c r="C19" s="103" t="s">
        <v>24</v>
      </c>
      <c r="D19" s="107"/>
      <c r="E19" s="107"/>
      <c r="F19" s="143"/>
      <c r="G19" s="129"/>
    </row>
    <row r="20" spans="1:7" s="32" customFormat="1" ht="15" customHeight="1" x14ac:dyDescent="0.3">
      <c r="C20" s="104" t="s">
        <v>219</v>
      </c>
      <c r="D20" s="145">
        <f>'Budget 24-25 Monthly'!R19</f>
        <v>0</v>
      </c>
      <c r="E20" s="145">
        <f>'Budget 24-25 Monthly'!Q19</f>
        <v>0</v>
      </c>
      <c r="F20" s="144">
        <f>+'Budget 24-25 Monthly'!P19</f>
        <v>0</v>
      </c>
      <c r="G20" s="108"/>
    </row>
    <row r="21" spans="1:7" s="32" customFormat="1" ht="15" customHeight="1" x14ac:dyDescent="0.3">
      <c r="C21" s="104" t="s">
        <v>220</v>
      </c>
      <c r="D21" s="145">
        <f>'Budget 24-25 Monthly'!R20</f>
        <v>0</v>
      </c>
      <c r="E21" s="145">
        <f>'Budget 24-25 Monthly'!Q20</f>
        <v>0</v>
      </c>
      <c r="F21" s="144">
        <f>+'Budget 24-25 Monthly'!P20</f>
        <v>0</v>
      </c>
      <c r="G21" s="129"/>
    </row>
    <row r="22" spans="1:7" s="32" customFormat="1" ht="15" customHeight="1" x14ac:dyDescent="0.3">
      <c r="C22" s="106" t="s">
        <v>29</v>
      </c>
      <c r="D22" s="143">
        <f>SUM(D20:D21)</f>
        <v>0</v>
      </c>
      <c r="E22" s="143">
        <f>SUM(E20:E21)</f>
        <v>0</v>
      </c>
      <c r="F22" s="143">
        <f>SUM(F20:F21)</f>
        <v>0</v>
      </c>
      <c r="G22" s="129"/>
    </row>
    <row r="23" spans="1:7" s="32" customFormat="1" ht="15" customHeight="1" x14ac:dyDescent="0.3">
      <c r="C23" s="106"/>
      <c r="D23" s="100"/>
      <c r="E23" s="100"/>
      <c r="F23" s="143"/>
      <c r="G23" s="129"/>
    </row>
    <row r="24" spans="1:7" s="32" customFormat="1" ht="15" customHeight="1" x14ac:dyDescent="0.3">
      <c r="A24" s="33"/>
      <c r="C24" s="106" t="s">
        <v>30</v>
      </c>
      <c r="D24" s="143">
        <f>D10+D18+D14+D22</f>
        <v>0</v>
      </c>
      <c r="E24" s="143">
        <f>E10+E18+E14+E22</f>
        <v>0</v>
      </c>
      <c r="F24" s="143">
        <f>F10+F18+F14+F22</f>
        <v>0</v>
      </c>
      <c r="G24" s="129"/>
    </row>
    <row r="25" spans="1:7" s="32" customFormat="1" ht="9" customHeight="1" x14ac:dyDescent="0.3">
      <c r="C25" s="108"/>
      <c r="D25" s="101"/>
      <c r="E25" s="102"/>
      <c r="F25" s="143"/>
      <c r="G25" s="129"/>
    </row>
    <row r="26" spans="1:7" s="32" customFormat="1" ht="15" customHeight="1" x14ac:dyDescent="0.3">
      <c r="C26" s="103" t="s">
        <v>31</v>
      </c>
      <c r="D26" s="107"/>
      <c r="E26" s="107"/>
      <c r="F26" s="143"/>
      <c r="G26" s="129"/>
    </row>
    <row r="27" spans="1:7" s="32" customFormat="1" ht="15" customHeight="1" x14ac:dyDescent="0.3">
      <c r="A27" s="31"/>
      <c r="B27" s="31"/>
      <c r="C27" s="103" t="s">
        <v>226</v>
      </c>
      <c r="D27" s="107"/>
      <c r="E27" s="107"/>
      <c r="F27" s="143"/>
      <c r="G27" s="129"/>
    </row>
    <row r="28" spans="1:7" s="32" customFormat="1" ht="15" customHeight="1" x14ac:dyDescent="0.3">
      <c r="C28" s="104" t="s">
        <v>227</v>
      </c>
      <c r="D28" s="145">
        <f>'Budget 24-25 Monthly'!R27</f>
        <v>0</v>
      </c>
      <c r="E28" s="145">
        <f>'Budget 24-25 Monthly'!Q27</f>
        <v>0</v>
      </c>
      <c r="F28" s="144">
        <f>+'Budget 24-25 Monthly'!P27</f>
        <v>0</v>
      </c>
      <c r="G28" s="129"/>
    </row>
    <row r="29" spans="1:7" s="32" customFormat="1" ht="15" customHeight="1" x14ac:dyDescent="0.3">
      <c r="C29" s="104" t="s">
        <v>228</v>
      </c>
      <c r="D29" s="145">
        <f>'Budget 24-25 Monthly'!R28</f>
        <v>0</v>
      </c>
      <c r="E29" s="145">
        <f>'Budget 24-25 Monthly'!Q28</f>
        <v>0</v>
      </c>
      <c r="F29" s="144">
        <f>+'Budget 24-25 Monthly'!P28</f>
        <v>0</v>
      </c>
      <c r="G29" s="129"/>
    </row>
    <row r="30" spans="1:7" s="32" customFormat="1" ht="15" customHeight="1" x14ac:dyDescent="0.3">
      <c r="C30" s="134" t="s">
        <v>229</v>
      </c>
      <c r="D30" s="143">
        <f>D28+D29</f>
        <v>0</v>
      </c>
      <c r="E30" s="143">
        <f>E28+E29</f>
        <v>0</v>
      </c>
      <c r="F30" s="144">
        <f>F28+F29</f>
        <v>0</v>
      </c>
      <c r="G30" s="129"/>
    </row>
    <row r="31" spans="1:7" s="32" customFormat="1" ht="15" customHeight="1" x14ac:dyDescent="0.3">
      <c r="C31" s="134" t="s">
        <v>230</v>
      </c>
      <c r="D31" s="99"/>
      <c r="E31" s="99"/>
      <c r="F31" s="144"/>
      <c r="G31" s="108"/>
    </row>
    <row r="32" spans="1:7" s="32" customFormat="1" ht="15" customHeight="1" x14ac:dyDescent="0.3">
      <c r="C32" s="104" t="s">
        <v>231</v>
      </c>
      <c r="D32" s="145">
        <f>'Budget 24-25 Monthly'!R31</f>
        <v>0</v>
      </c>
      <c r="E32" s="145">
        <f>'Budget 24-25 Monthly'!Q31</f>
        <v>0</v>
      </c>
      <c r="F32" s="144">
        <f>'Budget 24-25 Monthly'!P31</f>
        <v>0</v>
      </c>
      <c r="G32" s="129"/>
    </row>
    <row r="33" spans="1:7" s="32" customFormat="1" ht="15" customHeight="1" x14ac:dyDescent="0.3">
      <c r="C33" s="104" t="s">
        <v>232</v>
      </c>
      <c r="D33" s="145">
        <f>'Budget 24-25 Monthly'!R32</f>
        <v>0</v>
      </c>
      <c r="E33" s="145">
        <f>'Budget 24-25 Monthly'!Q32</f>
        <v>0</v>
      </c>
      <c r="F33" s="144">
        <f>'Budget 24-25 Monthly'!P32</f>
        <v>0</v>
      </c>
      <c r="G33" s="108"/>
    </row>
    <row r="34" spans="1:7" s="32" customFormat="1" ht="15" customHeight="1" x14ac:dyDescent="0.3">
      <c r="C34" s="104" t="s">
        <v>233</v>
      </c>
      <c r="D34" s="145">
        <f>'Budget 24-25 Monthly'!R33</f>
        <v>0</v>
      </c>
      <c r="E34" s="145">
        <f>'Budget 24-25 Monthly'!Q33</f>
        <v>0</v>
      </c>
      <c r="F34" s="144">
        <f>'Budget 24-25 Monthly'!P33</f>
        <v>0</v>
      </c>
      <c r="G34" s="108"/>
    </row>
    <row r="35" spans="1:7" s="32" customFormat="1" ht="15" customHeight="1" x14ac:dyDescent="0.3">
      <c r="C35" s="104" t="s">
        <v>234</v>
      </c>
      <c r="D35" s="145">
        <f>'Budget 24-25 Monthly'!R34</f>
        <v>0</v>
      </c>
      <c r="E35" s="145">
        <f>'Budget 24-25 Monthly'!Q34</f>
        <v>0</v>
      </c>
      <c r="F35" s="144">
        <f>'Budget 24-25 Monthly'!P34</f>
        <v>0</v>
      </c>
      <c r="G35" s="108"/>
    </row>
    <row r="36" spans="1:7" s="32" customFormat="1" ht="15" customHeight="1" x14ac:dyDescent="0.3">
      <c r="C36" s="104" t="s">
        <v>235</v>
      </c>
      <c r="D36" s="145">
        <f>'Budget 24-25 Monthly'!R35</f>
        <v>0</v>
      </c>
      <c r="E36" s="145">
        <f>'Budget 24-25 Monthly'!Q35</f>
        <v>0</v>
      </c>
      <c r="F36" s="144">
        <f>'Budget 24-25 Monthly'!P35</f>
        <v>0</v>
      </c>
      <c r="G36" s="129"/>
    </row>
    <row r="37" spans="1:7" s="32" customFormat="1" ht="15" customHeight="1" x14ac:dyDescent="0.3">
      <c r="C37" s="134" t="s">
        <v>236</v>
      </c>
      <c r="D37" s="143">
        <f>SUM(D32:D36)</f>
        <v>0</v>
      </c>
      <c r="E37" s="143">
        <f>SUM(E32:E36)</f>
        <v>0</v>
      </c>
      <c r="F37" s="144">
        <f>SUM(F32:F36)</f>
        <v>0</v>
      </c>
      <c r="G37" s="129"/>
    </row>
    <row r="38" spans="1:7" s="32" customFormat="1" ht="15" customHeight="1" x14ac:dyDescent="0.3">
      <c r="C38" s="106" t="s">
        <v>53</v>
      </c>
      <c r="D38" s="143">
        <f>D37+D30</f>
        <v>0</v>
      </c>
      <c r="E38" s="143">
        <f>E37+E30</f>
        <v>0</v>
      </c>
      <c r="F38" s="143">
        <f>F37+F30</f>
        <v>0</v>
      </c>
      <c r="G38" s="129"/>
    </row>
    <row r="39" spans="1:7" s="32" customFormat="1" ht="15" customHeight="1" x14ac:dyDescent="0.3">
      <c r="C39" s="106"/>
      <c r="D39" s="100"/>
      <c r="E39" s="73"/>
      <c r="F39" s="143"/>
      <c r="G39" s="129"/>
    </row>
    <row r="40" spans="1:7" s="32" customFormat="1" ht="15" customHeight="1" x14ac:dyDescent="0.3">
      <c r="C40" s="106" t="s">
        <v>54</v>
      </c>
      <c r="D40" s="143">
        <f>D24-D38</f>
        <v>0</v>
      </c>
      <c r="E40" s="143">
        <f>E24-E38</f>
        <v>0</v>
      </c>
      <c r="F40" s="143">
        <f>F24-F38</f>
        <v>0</v>
      </c>
      <c r="G40" s="129"/>
    </row>
    <row r="41" spans="1:7" s="32" customFormat="1" ht="15" customHeight="1" x14ac:dyDescent="0.3">
      <c r="C41" s="106"/>
      <c r="D41" s="100"/>
      <c r="E41" s="100"/>
      <c r="F41" s="143"/>
      <c r="G41" s="129"/>
    </row>
    <row r="42" spans="1:7" s="32" customFormat="1" ht="15" customHeight="1" x14ac:dyDescent="0.3">
      <c r="C42" s="106" t="s">
        <v>241</v>
      </c>
      <c r="D42" s="100"/>
      <c r="E42" s="100"/>
      <c r="F42" s="143"/>
      <c r="G42" s="129"/>
    </row>
    <row r="43" spans="1:7" s="32" customFormat="1" ht="15" customHeight="1" x14ac:dyDescent="0.3">
      <c r="C43" s="106"/>
      <c r="D43" s="100"/>
      <c r="E43" s="100"/>
      <c r="F43" s="143"/>
      <c r="G43" s="129"/>
    </row>
    <row r="44" spans="1:7" s="32" customFormat="1" ht="15" customHeight="1" x14ac:dyDescent="0.3">
      <c r="A44" s="31"/>
      <c r="B44" s="31"/>
      <c r="C44" s="103" t="s">
        <v>56</v>
      </c>
      <c r="D44" s="107"/>
      <c r="E44" s="26"/>
      <c r="F44" s="143"/>
      <c r="G44" s="129"/>
    </row>
    <row r="45" spans="1:7" s="32" customFormat="1" ht="15" customHeight="1" x14ac:dyDescent="0.3">
      <c r="C45" s="104" t="s">
        <v>57</v>
      </c>
      <c r="D45" s="145">
        <f>'Budget 24-25 Monthly'!R44</f>
        <v>0</v>
      </c>
      <c r="E45" s="145">
        <f>'Budget 24-25 Monthly'!Q44</f>
        <v>0</v>
      </c>
      <c r="F45" s="144">
        <f>'Budget 24-25 Monthly'!P44</f>
        <v>0</v>
      </c>
      <c r="G45" s="129"/>
    </row>
    <row r="46" spans="1:7" s="32" customFormat="1" ht="15" customHeight="1" x14ac:dyDescent="0.3">
      <c r="C46" s="104" t="s">
        <v>58</v>
      </c>
      <c r="D46" s="145">
        <f>'Budget 24-25 Monthly'!R45</f>
        <v>0</v>
      </c>
      <c r="E46" s="145">
        <f>'Budget 24-25 Monthly'!Q45</f>
        <v>0</v>
      </c>
      <c r="F46" s="144">
        <f>'Budget 24-25 Monthly'!P45</f>
        <v>0</v>
      </c>
      <c r="G46" s="129"/>
    </row>
    <row r="47" spans="1:7" s="32" customFormat="1" ht="15" customHeight="1" x14ac:dyDescent="0.3">
      <c r="C47" s="104" t="s">
        <v>59</v>
      </c>
      <c r="D47" s="145">
        <f>'Budget 24-25 Monthly'!R46</f>
        <v>0</v>
      </c>
      <c r="E47" s="145">
        <f>'Budget 24-25 Monthly'!Q46</f>
        <v>0</v>
      </c>
      <c r="F47" s="144">
        <f>'Budget 24-25 Monthly'!P46</f>
        <v>0</v>
      </c>
      <c r="G47" s="108"/>
    </row>
    <row r="48" spans="1:7" s="32" customFormat="1" ht="15" customHeight="1" x14ac:dyDescent="0.3">
      <c r="C48" s="104" t="s">
        <v>60</v>
      </c>
      <c r="D48" s="145">
        <f>'Budget 24-25 Monthly'!R47</f>
        <v>0</v>
      </c>
      <c r="E48" s="145">
        <f>'Budget 24-25 Monthly'!Q47</f>
        <v>0</v>
      </c>
      <c r="F48" s="144">
        <f>'Budget 24-25 Monthly'!P47</f>
        <v>0</v>
      </c>
      <c r="G48" s="129"/>
    </row>
    <row r="49" spans="1:7" s="32" customFormat="1" ht="15" customHeight="1" x14ac:dyDescent="0.3">
      <c r="C49" s="104" t="s">
        <v>61</v>
      </c>
      <c r="D49" s="145">
        <f>'Budget 24-25 Monthly'!R48</f>
        <v>0</v>
      </c>
      <c r="E49" s="145">
        <f>'Budget 24-25 Monthly'!Q48</f>
        <v>0</v>
      </c>
      <c r="F49" s="144">
        <f>'Budget 24-25 Monthly'!P48</f>
        <v>0</v>
      </c>
      <c r="G49" s="129"/>
    </row>
    <row r="50" spans="1:7" s="32" customFormat="1" ht="15" customHeight="1" x14ac:dyDescent="0.3">
      <c r="C50" s="104" t="s">
        <v>62</v>
      </c>
      <c r="D50" s="145">
        <f>'Budget 24-25 Monthly'!R49</f>
        <v>0</v>
      </c>
      <c r="E50" s="145">
        <f>'Budget 24-25 Monthly'!Q49</f>
        <v>0</v>
      </c>
      <c r="F50" s="144">
        <f>'Budget 24-25 Monthly'!P49</f>
        <v>0</v>
      </c>
      <c r="G50" s="129"/>
    </row>
    <row r="51" spans="1:7" s="32" customFormat="1" ht="15" customHeight="1" x14ac:dyDescent="0.3">
      <c r="C51" s="104" t="s">
        <v>63</v>
      </c>
      <c r="D51" s="145">
        <f>'Budget 24-25 Monthly'!R50</f>
        <v>0</v>
      </c>
      <c r="E51" s="145">
        <f>'Budget 24-25 Monthly'!Q50</f>
        <v>0</v>
      </c>
      <c r="F51" s="144">
        <f>'Budget 24-25 Monthly'!P50</f>
        <v>0</v>
      </c>
      <c r="G51" s="129"/>
    </row>
    <row r="52" spans="1:7" s="32" customFormat="1" x14ac:dyDescent="0.3">
      <c r="A52" s="31"/>
      <c r="B52" s="31"/>
      <c r="C52" s="104" t="s">
        <v>65</v>
      </c>
      <c r="D52" s="145">
        <f>'Budget 24-25 Monthly'!R51</f>
        <v>0</v>
      </c>
      <c r="E52" s="145">
        <f>'Budget 24-25 Monthly'!Q51</f>
        <v>0</v>
      </c>
      <c r="F52" s="144">
        <f>'Budget 24-25 Monthly'!P51</f>
        <v>0</v>
      </c>
      <c r="G52" s="129"/>
    </row>
    <row r="53" spans="1:7" s="32" customFormat="1" ht="15" customHeight="1" x14ac:dyDescent="0.3">
      <c r="C53" s="104" t="s">
        <v>211</v>
      </c>
      <c r="D53" s="145">
        <f>'Budget 24-25 Monthly'!R52</f>
        <v>0</v>
      </c>
      <c r="E53" s="145">
        <f>'Budget 24-25 Monthly'!Q52</f>
        <v>0</v>
      </c>
      <c r="F53" s="144">
        <f>'Budget 24-25 Monthly'!P52</f>
        <v>0</v>
      </c>
      <c r="G53" s="129"/>
    </row>
    <row r="54" spans="1:7" s="32" customFormat="1" ht="15" customHeight="1" x14ac:dyDescent="0.3">
      <c r="C54" s="104" t="s">
        <v>67</v>
      </c>
      <c r="D54" s="145">
        <f>'Budget 24-25 Monthly'!R53</f>
        <v>0</v>
      </c>
      <c r="E54" s="145">
        <f>'Budget 24-25 Monthly'!Q53</f>
        <v>0</v>
      </c>
      <c r="F54" s="144">
        <f>'Budget 24-25 Monthly'!P53</f>
        <v>0</v>
      </c>
      <c r="G54" s="129"/>
    </row>
    <row r="55" spans="1:7" s="32" customFormat="1" ht="15" customHeight="1" x14ac:dyDescent="0.3">
      <c r="C55" s="105" t="s">
        <v>68</v>
      </c>
      <c r="D55" s="145">
        <f>'Budget 24-25 Monthly'!R54</f>
        <v>0</v>
      </c>
      <c r="E55" s="145">
        <f>'Budget 24-25 Monthly'!Q54</f>
        <v>0</v>
      </c>
      <c r="F55" s="144">
        <f>'Budget 24-25 Monthly'!P54</f>
        <v>0</v>
      </c>
      <c r="G55" s="129"/>
    </row>
    <row r="56" spans="1:7" s="32" customFormat="1" ht="15" customHeight="1" x14ac:dyDescent="0.3">
      <c r="C56" s="104" t="s">
        <v>69</v>
      </c>
      <c r="D56" s="145">
        <f>'Budget 24-25 Monthly'!R55</f>
        <v>0</v>
      </c>
      <c r="E56" s="145">
        <f>'Budget 24-25 Monthly'!Q55</f>
        <v>0</v>
      </c>
      <c r="F56" s="144">
        <f>'Budget 24-25 Monthly'!P55</f>
        <v>0</v>
      </c>
      <c r="G56" s="129"/>
    </row>
    <row r="57" spans="1:7" s="32" customFormat="1" ht="15" customHeight="1" x14ac:dyDescent="0.3">
      <c r="C57" s="104" t="s">
        <v>70</v>
      </c>
      <c r="D57" s="145">
        <f>'Budget 24-25 Monthly'!R56</f>
        <v>0</v>
      </c>
      <c r="E57" s="145">
        <f>'Budget 24-25 Monthly'!Q56</f>
        <v>0</v>
      </c>
      <c r="F57" s="144">
        <f>'Budget 24-25 Monthly'!P56</f>
        <v>0</v>
      </c>
      <c r="G57" s="129"/>
    </row>
    <row r="58" spans="1:7" s="32" customFormat="1" ht="15" customHeight="1" x14ac:dyDescent="0.3">
      <c r="C58" s="104" t="s">
        <v>71</v>
      </c>
      <c r="D58" s="145">
        <f>'Budget 24-25 Monthly'!R57</f>
        <v>0</v>
      </c>
      <c r="E58" s="145">
        <f>'Budget 24-25 Monthly'!Q57</f>
        <v>0</v>
      </c>
      <c r="F58" s="144">
        <f>'Budget 24-25 Monthly'!P57</f>
        <v>0</v>
      </c>
      <c r="G58" s="129"/>
    </row>
    <row r="59" spans="1:7" s="32" customFormat="1" ht="15" customHeight="1" x14ac:dyDescent="0.3">
      <c r="C59" s="104" t="s">
        <v>212</v>
      </c>
      <c r="D59" s="145">
        <f>'Budget 24-25 Monthly'!R58</f>
        <v>0</v>
      </c>
      <c r="E59" s="145">
        <f>'Budget 24-25 Monthly'!Q58</f>
        <v>0</v>
      </c>
      <c r="F59" s="144">
        <f>'Budget 24-25 Monthly'!P58</f>
        <v>0</v>
      </c>
      <c r="G59" s="129"/>
    </row>
    <row r="60" spans="1:7" s="32" customFormat="1" ht="15" customHeight="1" x14ac:dyDescent="0.3">
      <c r="C60" s="106" t="s">
        <v>73</v>
      </c>
      <c r="D60" s="143">
        <f>SUM(D45:D59)</f>
        <v>0</v>
      </c>
      <c r="E60" s="143">
        <f>SUM(E45:E59)</f>
        <v>0</v>
      </c>
      <c r="F60" s="143">
        <f>SUM(F45:F59)</f>
        <v>0</v>
      </c>
      <c r="G60" s="129"/>
    </row>
    <row r="61" spans="1:7" s="32" customFormat="1" ht="15" customHeight="1" x14ac:dyDescent="0.3">
      <c r="C61" s="106"/>
      <c r="D61" s="100"/>
      <c r="E61" s="100"/>
      <c r="F61" s="143"/>
      <c r="G61" s="129"/>
    </row>
    <row r="62" spans="1:7" s="32" customFormat="1" ht="15" customHeight="1" x14ac:dyDescent="0.3">
      <c r="A62" s="31"/>
      <c r="B62" s="31"/>
      <c r="C62" s="103" t="s">
        <v>237</v>
      </c>
      <c r="D62" s="107"/>
      <c r="E62" s="107"/>
      <c r="F62" s="143"/>
      <c r="G62" s="129"/>
    </row>
    <row r="63" spans="1:7" s="32" customFormat="1" ht="15" customHeight="1" x14ac:dyDescent="0.3">
      <c r="C63" s="104" t="s">
        <v>75</v>
      </c>
      <c r="D63" s="145">
        <f>'Budget 24-25 Monthly'!R62</f>
        <v>0</v>
      </c>
      <c r="E63" s="145">
        <f>'Budget 24-25 Monthly'!Q62</f>
        <v>0</v>
      </c>
      <c r="F63" s="144">
        <f>'Budget 24-25 Monthly'!P62</f>
        <v>0</v>
      </c>
      <c r="G63" s="129"/>
    </row>
    <row r="64" spans="1:7" s="32" customFormat="1" ht="15" customHeight="1" x14ac:dyDescent="0.3">
      <c r="C64" s="104" t="s">
        <v>213</v>
      </c>
      <c r="D64" s="145">
        <f>'Budget 24-25 Monthly'!R63</f>
        <v>0</v>
      </c>
      <c r="E64" s="145">
        <f>'Budget 24-25 Monthly'!Q63</f>
        <v>0</v>
      </c>
      <c r="F64" s="144">
        <f>'Budget 24-25 Monthly'!P63</f>
        <v>0</v>
      </c>
      <c r="G64" s="129"/>
    </row>
    <row r="65" spans="1:7" s="32" customFormat="1" ht="15" customHeight="1" x14ac:dyDescent="0.3">
      <c r="C65" s="104" t="s">
        <v>238</v>
      </c>
      <c r="D65" s="145">
        <f>'Budget 24-25 Monthly'!R64</f>
        <v>0</v>
      </c>
      <c r="E65" s="145">
        <f>'Budget 24-25 Monthly'!Q64</f>
        <v>0</v>
      </c>
      <c r="F65" s="144">
        <f>'Budget 24-25 Monthly'!P64</f>
        <v>0</v>
      </c>
      <c r="G65" s="108"/>
    </row>
    <row r="66" spans="1:7" s="32" customFormat="1" ht="15" customHeight="1" x14ac:dyDescent="0.3">
      <c r="C66" s="104" t="s">
        <v>78</v>
      </c>
      <c r="D66" s="145">
        <f>'Budget 24-25 Monthly'!R65</f>
        <v>0</v>
      </c>
      <c r="E66" s="145">
        <f>'Budget 24-25 Monthly'!Q65</f>
        <v>0</v>
      </c>
      <c r="F66" s="144">
        <f>'Budget 24-25 Monthly'!P65</f>
        <v>0</v>
      </c>
      <c r="G66" s="129"/>
    </row>
    <row r="67" spans="1:7" s="32" customFormat="1" ht="15" customHeight="1" x14ac:dyDescent="0.3">
      <c r="C67" s="104" t="s">
        <v>239</v>
      </c>
      <c r="D67" s="145">
        <f>'Budget 24-25 Monthly'!R66</f>
        <v>0</v>
      </c>
      <c r="E67" s="145">
        <f>'Budget 24-25 Monthly'!Q66</f>
        <v>0</v>
      </c>
      <c r="F67" s="144">
        <f>'Budget 24-25 Monthly'!P66</f>
        <v>0</v>
      </c>
      <c r="G67" s="129"/>
    </row>
    <row r="68" spans="1:7" s="32" customFormat="1" ht="15" customHeight="1" x14ac:dyDescent="0.3">
      <c r="C68" s="104" t="s">
        <v>79</v>
      </c>
      <c r="D68" s="145">
        <f>'Budget 24-25 Monthly'!R67</f>
        <v>0</v>
      </c>
      <c r="E68" s="145">
        <f>'Budget 24-25 Monthly'!Q67</f>
        <v>0</v>
      </c>
      <c r="F68" s="144">
        <f>'Budget 24-25 Monthly'!P67</f>
        <v>0</v>
      </c>
      <c r="G68" s="129"/>
    </row>
    <row r="69" spans="1:7" s="32" customFormat="1" ht="15" customHeight="1" x14ac:dyDescent="0.3">
      <c r="C69" s="106" t="s">
        <v>242</v>
      </c>
      <c r="D69" s="143">
        <f>SUM(D63:D68)</f>
        <v>0</v>
      </c>
      <c r="E69" s="143">
        <f>SUM(E63:E68)</f>
        <v>0</v>
      </c>
      <c r="F69" s="143">
        <f>SUM(F63:F68)</f>
        <v>0</v>
      </c>
      <c r="G69" s="129"/>
    </row>
    <row r="70" spans="1:7" s="32" customFormat="1" ht="15" customHeight="1" x14ac:dyDescent="0.3">
      <c r="C70" s="106"/>
      <c r="D70" s="100"/>
      <c r="E70" s="100"/>
      <c r="F70" s="143"/>
      <c r="G70" s="129"/>
    </row>
    <row r="71" spans="1:7" s="32" customFormat="1" ht="15" customHeight="1" x14ac:dyDescent="0.3">
      <c r="A71" s="31"/>
      <c r="B71" s="31"/>
      <c r="C71" s="103" t="s">
        <v>81</v>
      </c>
      <c r="D71" s="107"/>
      <c r="E71" s="107"/>
      <c r="F71" s="143"/>
      <c r="G71" s="129"/>
    </row>
    <row r="72" spans="1:7" s="32" customFormat="1" ht="15" customHeight="1" x14ac:dyDescent="0.3">
      <c r="C72" s="104" t="s">
        <v>82</v>
      </c>
      <c r="D72" s="145">
        <f>'Budget 24-25 Monthly'!R71</f>
        <v>0</v>
      </c>
      <c r="E72" s="145">
        <f>'Budget 24-25 Monthly'!Q71</f>
        <v>0</v>
      </c>
      <c r="F72" s="144">
        <f>+'Budget 24-25 Monthly'!P71</f>
        <v>0</v>
      </c>
      <c r="G72" s="129"/>
    </row>
    <row r="73" spans="1:7" s="32" customFormat="1" ht="15" customHeight="1" x14ac:dyDescent="0.3">
      <c r="C73" s="104" t="s">
        <v>214</v>
      </c>
      <c r="D73" s="145">
        <f>'Budget 24-25 Monthly'!R72</f>
        <v>0</v>
      </c>
      <c r="E73" s="145">
        <f>'Budget 24-25 Monthly'!Q72</f>
        <v>0</v>
      </c>
      <c r="F73" s="144">
        <f>+'Budget 24-25 Monthly'!P72</f>
        <v>0</v>
      </c>
      <c r="G73" s="129"/>
    </row>
    <row r="74" spans="1:7" s="32" customFormat="1" ht="15" customHeight="1" x14ac:dyDescent="0.3">
      <c r="C74" s="104" t="s">
        <v>215</v>
      </c>
      <c r="D74" s="145">
        <f>'Budget 24-25 Monthly'!R73</f>
        <v>0</v>
      </c>
      <c r="E74" s="145">
        <f>'Budget 24-25 Monthly'!Q73</f>
        <v>0</v>
      </c>
      <c r="F74" s="144">
        <f>+'Budget 24-25 Monthly'!P73</f>
        <v>0</v>
      </c>
      <c r="G74" s="129"/>
    </row>
    <row r="75" spans="1:7" s="32" customFormat="1" ht="15" customHeight="1" x14ac:dyDescent="0.3">
      <c r="C75" s="104" t="s">
        <v>86</v>
      </c>
      <c r="D75" s="145">
        <f>'Budget 24-25 Monthly'!R74</f>
        <v>0</v>
      </c>
      <c r="E75" s="145">
        <f>'Budget 24-25 Monthly'!Q74</f>
        <v>0</v>
      </c>
      <c r="F75" s="144">
        <f>+'Budget 24-25 Monthly'!P74</f>
        <v>0</v>
      </c>
      <c r="G75" s="108"/>
    </row>
    <row r="76" spans="1:7" s="32" customFormat="1" ht="15" customHeight="1" x14ac:dyDescent="0.3">
      <c r="C76" s="106" t="s">
        <v>87</v>
      </c>
      <c r="D76" s="143">
        <f>SUM(D72:D75)</f>
        <v>0</v>
      </c>
      <c r="E76" s="143">
        <f>SUM(E72:E75)</f>
        <v>0</v>
      </c>
      <c r="F76" s="143">
        <f>SUM(F72:F75)</f>
        <v>0</v>
      </c>
      <c r="G76" s="129"/>
    </row>
    <row r="77" spans="1:7" s="32" customFormat="1" ht="15" customHeight="1" x14ac:dyDescent="0.3">
      <c r="C77" s="106"/>
      <c r="D77" s="100"/>
      <c r="E77" s="100"/>
      <c r="F77" s="143"/>
      <c r="G77" s="129"/>
    </row>
    <row r="78" spans="1:7" s="32" customFormat="1" ht="15" customHeight="1" x14ac:dyDescent="0.3">
      <c r="C78" s="106" t="s">
        <v>243</v>
      </c>
      <c r="D78" s="143">
        <f>D76+D69+D60</f>
        <v>0</v>
      </c>
      <c r="E78" s="143">
        <f>E76+E69+E60</f>
        <v>0</v>
      </c>
      <c r="F78" s="146">
        <f>F76+F69+F60</f>
        <v>0</v>
      </c>
      <c r="G78" s="129"/>
    </row>
    <row r="79" spans="1:7" s="32" customFormat="1" ht="15" customHeight="1" x14ac:dyDescent="0.3">
      <c r="C79" s="106"/>
      <c r="D79" s="100"/>
      <c r="E79" s="100"/>
      <c r="F79" s="143"/>
      <c r="G79" s="129"/>
    </row>
    <row r="80" spans="1:7" s="32" customFormat="1" ht="15" customHeight="1" x14ac:dyDescent="0.3">
      <c r="C80" s="106" t="s">
        <v>244</v>
      </c>
      <c r="D80" s="143">
        <f>D40-D78</f>
        <v>0</v>
      </c>
      <c r="E80" s="143">
        <f>E40-E78</f>
        <v>0</v>
      </c>
      <c r="F80" s="143">
        <f>F40-F78</f>
        <v>0</v>
      </c>
      <c r="G80" s="129"/>
    </row>
    <row r="81" spans="1:7" s="32" customFormat="1" ht="14.5" customHeight="1" x14ac:dyDescent="0.3">
      <c r="C81" s="106"/>
      <c r="D81" s="100"/>
      <c r="E81" s="100"/>
      <c r="F81" s="143"/>
      <c r="G81" s="129"/>
    </row>
    <row r="82" spans="1:7" s="32" customFormat="1" ht="15" customHeight="1" x14ac:dyDescent="0.3">
      <c r="A82" s="31"/>
      <c r="B82" s="31"/>
      <c r="C82" s="103" t="s">
        <v>88</v>
      </c>
      <c r="D82" s="107"/>
      <c r="E82" s="107"/>
      <c r="F82" s="143"/>
      <c r="G82" s="129"/>
    </row>
    <row r="83" spans="1:7" s="32" customFormat="1" ht="15" customHeight="1" x14ac:dyDescent="0.3">
      <c r="C83" s="104" t="s">
        <v>91</v>
      </c>
      <c r="D83" s="145">
        <f>'Budget 24-25 Monthly'!R82</f>
        <v>0</v>
      </c>
      <c r="E83" s="145">
        <f>'Budget 24-25 Monthly'!Q82</f>
        <v>0</v>
      </c>
      <c r="F83" s="144">
        <f>+'Budget 24-25 Monthly'!P82</f>
        <v>0</v>
      </c>
      <c r="G83" s="129"/>
    </row>
    <row r="84" spans="1:7" s="32" customFormat="1" ht="15" customHeight="1" x14ac:dyDescent="0.3">
      <c r="C84" s="104" t="s">
        <v>217</v>
      </c>
      <c r="D84" s="145">
        <f>'Budget 24-25 Monthly'!R83</f>
        <v>0</v>
      </c>
      <c r="E84" s="145">
        <f>'Budget 24-25 Monthly'!Q83</f>
        <v>0</v>
      </c>
      <c r="F84" s="144">
        <f>+'Budget 24-25 Monthly'!P83</f>
        <v>0</v>
      </c>
      <c r="G84" s="129"/>
    </row>
    <row r="85" spans="1:7" s="32" customFormat="1" ht="15" customHeight="1" x14ac:dyDescent="0.3">
      <c r="C85" s="104" t="s">
        <v>216</v>
      </c>
      <c r="D85" s="145">
        <f>'Budget 24-25 Monthly'!R84</f>
        <v>0</v>
      </c>
      <c r="E85" s="145">
        <f>'Budget 24-25 Monthly'!Q84</f>
        <v>0</v>
      </c>
      <c r="F85" s="144">
        <f>+'Budget 24-25 Monthly'!P84</f>
        <v>0</v>
      </c>
      <c r="G85" s="129"/>
    </row>
    <row r="86" spans="1:7" s="32" customFormat="1" ht="15" customHeight="1" x14ac:dyDescent="0.3">
      <c r="C86" s="106" t="s">
        <v>93</v>
      </c>
      <c r="D86" s="143">
        <f>SUM(D83:D85)</f>
        <v>0</v>
      </c>
      <c r="E86" s="143">
        <f>SUM(E83:E85)</f>
        <v>0</v>
      </c>
      <c r="F86" s="143">
        <f>SUM(F83:F85)</f>
        <v>0</v>
      </c>
      <c r="G86" s="129"/>
    </row>
    <row r="87" spans="1:7" s="32" customFormat="1" ht="15" customHeight="1" x14ac:dyDescent="0.3">
      <c r="C87" s="47"/>
      <c r="D87" s="48"/>
      <c r="E87" s="102"/>
      <c r="F87" s="144"/>
      <c r="G87" s="129"/>
    </row>
    <row r="88" spans="1:7" s="32" customFormat="1" x14ac:dyDescent="0.3">
      <c r="C88" s="53" t="s">
        <v>95</v>
      </c>
      <c r="D88" s="149">
        <f>D80-D86</f>
        <v>0</v>
      </c>
      <c r="E88" s="143">
        <f>+E80-E86</f>
        <v>0</v>
      </c>
      <c r="F88" s="149">
        <f>+F80-F86</f>
        <v>0</v>
      </c>
      <c r="G88" s="130"/>
    </row>
  </sheetData>
  <pageMargins left="0.11811023622047245" right="0.11811023622047245" top="0.19685039370078741" bottom="7.874015748031496E-2" header="0.11811023622047245" footer="0.11811023622047245"/>
  <pageSetup paperSize="9" scale="6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605FB-D6B8-4637-A306-C270B53C5D50}">
  <dimension ref="A1:N45"/>
  <sheetViews>
    <sheetView workbookViewId="0">
      <selection activeCell="C20" sqref="C20"/>
    </sheetView>
  </sheetViews>
  <sheetFormatPr defaultColWidth="9.1796875" defaultRowHeight="13" x14ac:dyDescent="0.3"/>
  <cols>
    <col min="1" max="1" width="31.1796875" style="6" customWidth="1"/>
    <col min="2" max="2" width="9.1796875" style="8"/>
    <col min="3" max="3" width="9.1796875" style="6"/>
    <col min="4" max="4" width="11.453125" style="6" customWidth="1"/>
    <col min="5" max="5" width="2.453125" style="6" customWidth="1"/>
    <col min="6" max="8" width="10.54296875" style="6" customWidth="1"/>
    <col min="9" max="9" width="1.453125" style="6" customWidth="1"/>
    <col min="10" max="10" width="11.54296875" style="7" customWidth="1"/>
    <col min="11" max="11" width="1.453125" style="6" customWidth="1"/>
    <col min="12" max="12" width="12.1796875" style="6" customWidth="1"/>
    <col min="13" max="13" width="1.81640625" style="6" customWidth="1"/>
    <col min="14" max="14" width="14" style="6" customWidth="1"/>
    <col min="15" max="16384" width="9.1796875" style="6"/>
  </cols>
  <sheetData>
    <row r="1" spans="1:14" x14ac:dyDescent="0.3">
      <c r="A1" s="12" t="s">
        <v>138</v>
      </c>
      <c r="B1" s="136" t="s">
        <v>137</v>
      </c>
      <c r="C1" s="137" t="s">
        <v>136</v>
      </c>
      <c r="D1" s="136" t="s">
        <v>135</v>
      </c>
      <c r="E1" s="12"/>
      <c r="F1" s="138" t="s">
        <v>134</v>
      </c>
      <c r="G1" s="139"/>
      <c r="H1" s="139"/>
      <c r="J1" s="140" t="s">
        <v>133</v>
      </c>
      <c r="L1" s="136" t="s">
        <v>132</v>
      </c>
      <c r="N1" s="135"/>
    </row>
    <row r="2" spans="1:14" x14ac:dyDescent="0.3">
      <c r="B2" s="136"/>
      <c r="C2" s="137"/>
      <c r="D2" s="136"/>
      <c r="F2" s="16" t="s">
        <v>131</v>
      </c>
      <c r="G2" s="16" t="s">
        <v>130</v>
      </c>
      <c r="H2" s="16" t="s">
        <v>129</v>
      </c>
      <c r="J2" s="141"/>
      <c r="L2" s="136"/>
      <c r="N2" s="135"/>
    </row>
    <row r="3" spans="1:14" x14ac:dyDescent="0.3">
      <c r="A3" s="15" t="s">
        <v>128</v>
      </c>
      <c r="B3" s="14"/>
      <c r="C3" s="13"/>
      <c r="D3" s="13"/>
      <c r="F3" s="13"/>
      <c r="G3" s="13"/>
      <c r="H3" s="13"/>
    </row>
    <row r="4" spans="1:14" x14ac:dyDescent="0.3">
      <c r="A4" s="11" t="s">
        <v>126</v>
      </c>
      <c r="B4" s="10">
        <v>128</v>
      </c>
      <c r="C4" s="9">
        <v>20</v>
      </c>
      <c r="D4" s="9">
        <f>B4*C4</f>
        <v>2560</v>
      </c>
      <c r="F4" s="9">
        <v>600</v>
      </c>
      <c r="G4" s="9">
        <v>1550</v>
      </c>
      <c r="H4" s="9">
        <v>400</v>
      </c>
      <c r="J4" s="9">
        <f t="shared" ref="J4:J13" si="0">SUM(F4:H4)</f>
        <v>2550</v>
      </c>
      <c r="L4" s="9">
        <f t="shared" ref="L4:L13" si="1">D4-J4</f>
        <v>10</v>
      </c>
    </row>
    <row r="5" spans="1:14" x14ac:dyDescent="0.3">
      <c r="A5" s="11" t="s">
        <v>125</v>
      </c>
      <c r="B5" s="10">
        <v>108</v>
      </c>
      <c r="C5" s="9">
        <v>40</v>
      </c>
      <c r="D5" s="9">
        <f t="shared" ref="D5:D13" si="2">B5*C5</f>
        <v>4320</v>
      </c>
      <c r="F5" s="9">
        <v>1200</v>
      </c>
      <c r="G5" s="9">
        <v>800</v>
      </c>
      <c r="H5" s="9">
        <v>340</v>
      </c>
      <c r="J5" s="9">
        <f t="shared" si="0"/>
        <v>2340</v>
      </c>
      <c r="L5" s="9">
        <f t="shared" si="1"/>
        <v>1980</v>
      </c>
    </row>
    <row r="6" spans="1:14" x14ac:dyDescent="0.3">
      <c r="A6" s="11" t="s">
        <v>124</v>
      </c>
      <c r="B6" s="10">
        <v>64</v>
      </c>
      <c r="C6" s="9">
        <v>60</v>
      </c>
      <c r="D6" s="9">
        <f t="shared" si="2"/>
        <v>3840</v>
      </c>
      <c r="F6" s="9">
        <v>1800</v>
      </c>
      <c r="G6" s="9">
        <v>450</v>
      </c>
      <c r="H6" s="9">
        <v>180</v>
      </c>
      <c r="J6" s="9">
        <f t="shared" si="0"/>
        <v>2430</v>
      </c>
      <c r="L6" s="9">
        <f t="shared" si="1"/>
        <v>1410</v>
      </c>
    </row>
    <row r="7" spans="1:14" x14ac:dyDescent="0.3">
      <c r="A7" s="11" t="s">
        <v>123</v>
      </c>
      <c r="B7" s="10">
        <v>52</v>
      </c>
      <c r="C7" s="9">
        <v>80</v>
      </c>
      <c r="D7" s="9">
        <f t="shared" si="2"/>
        <v>4160</v>
      </c>
      <c r="F7" s="9">
        <v>2400</v>
      </c>
      <c r="G7" s="9">
        <v>550</v>
      </c>
      <c r="H7" s="9">
        <v>180</v>
      </c>
      <c r="J7" s="9">
        <f t="shared" si="0"/>
        <v>3130</v>
      </c>
      <c r="L7" s="9">
        <f t="shared" si="1"/>
        <v>1030</v>
      </c>
    </row>
    <row r="8" spans="1:14" x14ac:dyDescent="0.3">
      <c r="A8" s="11" t="s">
        <v>122</v>
      </c>
      <c r="B8" s="10">
        <v>32</v>
      </c>
      <c r="C8" s="9">
        <v>20</v>
      </c>
      <c r="D8" s="9">
        <f t="shared" si="2"/>
        <v>640</v>
      </c>
      <c r="F8" s="9">
        <v>300</v>
      </c>
      <c r="G8" s="9">
        <v>350</v>
      </c>
      <c r="H8" s="9">
        <v>120</v>
      </c>
      <c r="J8" s="9">
        <f t="shared" si="0"/>
        <v>770</v>
      </c>
      <c r="L8" s="9">
        <f t="shared" si="1"/>
        <v>-130</v>
      </c>
    </row>
    <row r="9" spans="1:14" x14ac:dyDescent="0.3">
      <c r="A9" s="11" t="s">
        <v>121</v>
      </c>
      <c r="B9" s="10">
        <v>32</v>
      </c>
      <c r="C9" s="9">
        <v>40</v>
      </c>
      <c r="D9" s="9">
        <f t="shared" si="2"/>
        <v>1280</v>
      </c>
      <c r="F9" s="9">
        <v>600</v>
      </c>
      <c r="G9" s="9">
        <v>400</v>
      </c>
      <c r="H9" s="9">
        <v>120</v>
      </c>
      <c r="J9" s="9">
        <f t="shared" si="0"/>
        <v>1120</v>
      </c>
      <c r="L9" s="9">
        <f t="shared" si="1"/>
        <v>160</v>
      </c>
    </row>
    <row r="10" spans="1:14" x14ac:dyDescent="0.3">
      <c r="A10" s="11" t="s">
        <v>120</v>
      </c>
      <c r="B10" s="10">
        <v>28</v>
      </c>
      <c r="C10" s="9">
        <v>60</v>
      </c>
      <c r="D10" s="9">
        <f t="shared" si="2"/>
        <v>1680</v>
      </c>
      <c r="F10" s="9">
        <v>900</v>
      </c>
      <c r="G10" s="9">
        <v>300</v>
      </c>
      <c r="H10" s="9">
        <v>80</v>
      </c>
      <c r="J10" s="9">
        <f t="shared" si="0"/>
        <v>1280</v>
      </c>
      <c r="L10" s="9">
        <f t="shared" si="1"/>
        <v>400</v>
      </c>
    </row>
    <row r="11" spans="1:14" x14ac:dyDescent="0.3">
      <c r="A11" s="11" t="s">
        <v>119</v>
      </c>
      <c r="B11" s="10">
        <v>43</v>
      </c>
      <c r="C11" s="9">
        <v>80</v>
      </c>
      <c r="D11" s="9">
        <f t="shared" si="2"/>
        <v>3440</v>
      </c>
      <c r="F11" s="9">
        <v>1200</v>
      </c>
      <c r="G11" s="9">
        <v>200</v>
      </c>
      <c r="H11" s="9">
        <v>120</v>
      </c>
      <c r="J11" s="9">
        <f t="shared" si="0"/>
        <v>1520</v>
      </c>
      <c r="L11" s="9">
        <f t="shared" si="1"/>
        <v>1920</v>
      </c>
    </row>
    <row r="12" spans="1:14" x14ac:dyDescent="0.3">
      <c r="A12" s="11" t="s">
        <v>118</v>
      </c>
      <c r="B12" s="10">
        <v>16</v>
      </c>
      <c r="C12" s="9">
        <v>150</v>
      </c>
      <c r="D12" s="9">
        <f t="shared" si="2"/>
        <v>2400</v>
      </c>
      <c r="F12" s="9"/>
      <c r="G12" s="9"/>
      <c r="H12" s="9">
        <v>80</v>
      </c>
      <c r="J12" s="9">
        <f t="shared" si="0"/>
        <v>80</v>
      </c>
      <c r="L12" s="9">
        <f t="shared" si="1"/>
        <v>2320</v>
      </c>
    </row>
    <row r="13" spans="1:14" x14ac:dyDescent="0.3">
      <c r="A13" s="11" t="s">
        <v>117</v>
      </c>
      <c r="B13" s="10">
        <v>19</v>
      </c>
      <c r="C13" s="9">
        <v>150</v>
      </c>
      <c r="D13" s="9">
        <f t="shared" si="2"/>
        <v>2850</v>
      </c>
      <c r="F13" s="9">
        <v>6000</v>
      </c>
      <c r="G13" s="9"/>
      <c r="H13" s="9"/>
      <c r="J13" s="9">
        <f t="shared" si="0"/>
        <v>6000</v>
      </c>
      <c r="L13" s="9">
        <f t="shared" si="1"/>
        <v>-3150</v>
      </c>
    </row>
    <row r="15" spans="1:14" x14ac:dyDescent="0.3">
      <c r="A15" s="12" t="s">
        <v>127</v>
      </c>
    </row>
    <row r="16" spans="1:14" x14ac:dyDescent="0.3">
      <c r="A16" s="11" t="s">
        <v>126</v>
      </c>
      <c r="B16" s="10">
        <v>60</v>
      </c>
      <c r="C16" s="9">
        <v>20</v>
      </c>
      <c r="D16" s="9">
        <f>B16*C16</f>
        <v>1200</v>
      </c>
      <c r="F16" s="9">
        <v>600</v>
      </c>
      <c r="G16" s="9">
        <v>600</v>
      </c>
      <c r="H16" s="9">
        <v>180</v>
      </c>
      <c r="J16" s="9">
        <f t="shared" ref="J16:J26" si="3">SUM(F16:H16)</f>
        <v>1380</v>
      </c>
      <c r="L16" s="9">
        <f t="shared" ref="L16:L26" si="4">D16-J16</f>
        <v>-180</v>
      </c>
    </row>
    <row r="17" spans="1:12" x14ac:dyDescent="0.3">
      <c r="A17" s="11" t="s">
        <v>125</v>
      </c>
      <c r="B17" s="10">
        <v>44</v>
      </c>
      <c r="C17" s="9">
        <v>40</v>
      </c>
      <c r="D17" s="9">
        <f t="shared" ref="D17:D25" si="5">B17*C17</f>
        <v>1760</v>
      </c>
      <c r="F17" s="9">
        <v>1200</v>
      </c>
      <c r="G17" s="9">
        <v>400</v>
      </c>
      <c r="H17" s="9">
        <v>140</v>
      </c>
      <c r="J17" s="9">
        <f t="shared" si="3"/>
        <v>1740</v>
      </c>
      <c r="L17" s="9">
        <f t="shared" si="4"/>
        <v>20</v>
      </c>
    </row>
    <row r="18" spans="1:12" x14ac:dyDescent="0.3">
      <c r="A18" s="11" t="s">
        <v>124</v>
      </c>
      <c r="B18" s="10">
        <v>32</v>
      </c>
      <c r="C18" s="9">
        <v>60</v>
      </c>
      <c r="D18" s="9">
        <f t="shared" si="5"/>
        <v>1920</v>
      </c>
      <c r="F18" s="9">
        <v>1800</v>
      </c>
      <c r="G18" s="9">
        <v>500</v>
      </c>
      <c r="H18" s="9">
        <v>120</v>
      </c>
      <c r="J18" s="9">
        <f t="shared" si="3"/>
        <v>2420</v>
      </c>
      <c r="L18" s="9">
        <f t="shared" si="4"/>
        <v>-500</v>
      </c>
    </row>
    <row r="19" spans="1:12" x14ac:dyDescent="0.3">
      <c r="A19" s="11" t="s">
        <v>123</v>
      </c>
      <c r="B19" s="10">
        <v>20</v>
      </c>
      <c r="C19" s="9">
        <v>80</v>
      </c>
      <c r="D19" s="9">
        <f t="shared" si="5"/>
        <v>1600</v>
      </c>
      <c r="F19" s="9">
        <v>2400</v>
      </c>
      <c r="G19" s="9">
        <v>250</v>
      </c>
      <c r="H19" s="9">
        <v>100</v>
      </c>
      <c r="J19" s="9">
        <f t="shared" si="3"/>
        <v>2750</v>
      </c>
      <c r="L19" s="9">
        <f t="shared" si="4"/>
        <v>-1150</v>
      </c>
    </row>
    <row r="20" spans="1:12" x14ac:dyDescent="0.3">
      <c r="A20" s="11" t="s">
        <v>122</v>
      </c>
      <c r="B20" s="10">
        <v>19</v>
      </c>
      <c r="C20" s="9">
        <v>20</v>
      </c>
      <c r="D20" s="9">
        <f t="shared" si="5"/>
        <v>380</v>
      </c>
      <c r="F20" s="9">
        <v>300</v>
      </c>
      <c r="G20" s="9">
        <v>150</v>
      </c>
      <c r="H20" s="9">
        <v>40</v>
      </c>
      <c r="J20" s="9">
        <f t="shared" si="3"/>
        <v>490</v>
      </c>
      <c r="L20" s="9">
        <f t="shared" si="4"/>
        <v>-110</v>
      </c>
    </row>
    <row r="21" spans="1:12" x14ac:dyDescent="0.3">
      <c r="A21" s="11" t="s">
        <v>121</v>
      </c>
      <c r="B21" s="10">
        <v>19</v>
      </c>
      <c r="C21" s="9">
        <v>40</v>
      </c>
      <c r="D21" s="9">
        <f t="shared" si="5"/>
        <v>760</v>
      </c>
      <c r="F21" s="9">
        <v>600</v>
      </c>
      <c r="G21" s="9">
        <v>100</v>
      </c>
      <c r="H21" s="9">
        <v>40</v>
      </c>
      <c r="J21" s="9">
        <f t="shared" si="3"/>
        <v>740</v>
      </c>
      <c r="L21" s="9">
        <f t="shared" si="4"/>
        <v>20</v>
      </c>
    </row>
    <row r="22" spans="1:12" x14ac:dyDescent="0.3">
      <c r="A22" s="11" t="s">
        <v>120</v>
      </c>
      <c r="B22" s="10">
        <v>19</v>
      </c>
      <c r="C22" s="9">
        <v>60</v>
      </c>
      <c r="D22" s="9">
        <f t="shared" si="5"/>
        <v>1140</v>
      </c>
      <c r="F22" s="9">
        <v>900</v>
      </c>
      <c r="G22" s="9">
        <v>100</v>
      </c>
      <c r="H22" s="9">
        <v>40</v>
      </c>
      <c r="J22" s="9">
        <f t="shared" si="3"/>
        <v>1040</v>
      </c>
      <c r="L22" s="9">
        <f t="shared" si="4"/>
        <v>100</v>
      </c>
    </row>
    <row r="23" spans="1:12" x14ac:dyDescent="0.3">
      <c r="A23" s="11" t="s">
        <v>119</v>
      </c>
      <c r="B23" s="10">
        <v>15</v>
      </c>
      <c r="C23" s="9">
        <v>80</v>
      </c>
      <c r="D23" s="9">
        <f t="shared" si="5"/>
        <v>1200</v>
      </c>
      <c r="F23" s="9">
        <v>1200</v>
      </c>
      <c r="G23" s="9">
        <v>100</v>
      </c>
      <c r="H23" s="9">
        <v>40</v>
      </c>
      <c r="J23" s="9">
        <f t="shared" si="3"/>
        <v>1340</v>
      </c>
      <c r="L23" s="9">
        <f t="shared" si="4"/>
        <v>-140</v>
      </c>
    </row>
    <row r="24" spans="1:12" x14ac:dyDescent="0.3">
      <c r="A24" s="11" t="s">
        <v>118</v>
      </c>
      <c r="B24" s="10">
        <v>16</v>
      </c>
      <c r="C24" s="9">
        <v>150</v>
      </c>
      <c r="D24" s="9">
        <f t="shared" si="5"/>
        <v>2400</v>
      </c>
      <c r="F24" s="9"/>
      <c r="G24" s="9"/>
      <c r="H24" s="9">
        <v>80</v>
      </c>
      <c r="J24" s="9">
        <f t="shared" si="3"/>
        <v>80</v>
      </c>
      <c r="L24" s="9">
        <f t="shared" si="4"/>
        <v>2320</v>
      </c>
    </row>
    <row r="25" spans="1:12" x14ac:dyDescent="0.3">
      <c r="A25" s="11" t="s">
        <v>117</v>
      </c>
      <c r="B25" s="10">
        <v>19</v>
      </c>
      <c r="C25" s="9">
        <v>150</v>
      </c>
      <c r="D25" s="9">
        <f t="shared" si="5"/>
        <v>2850</v>
      </c>
      <c r="F25" s="9">
        <v>3000</v>
      </c>
      <c r="G25" s="9"/>
      <c r="H25" s="9"/>
      <c r="J25" s="9">
        <f t="shared" si="3"/>
        <v>3000</v>
      </c>
      <c r="L25" s="9">
        <f t="shared" si="4"/>
        <v>-150</v>
      </c>
    </row>
    <row r="26" spans="1:12" x14ac:dyDescent="0.3">
      <c r="A26" s="11" t="s">
        <v>116</v>
      </c>
      <c r="B26" s="10">
        <v>88</v>
      </c>
      <c r="C26" s="9">
        <v>30</v>
      </c>
      <c r="D26" s="9">
        <f>B26*C26</f>
        <v>2640</v>
      </c>
      <c r="F26" s="9">
        <v>1200</v>
      </c>
      <c r="G26" s="9">
        <v>1050</v>
      </c>
      <c r="H26" s="9">
        <v>320</v>
      </c>
      <c r="J26" s="9">
        <f t="shared" si="3"/>
        <v>2570</v>
      </c>
      <c r="L26" s="9">
        <f t="shared" si="4"/>
        <v>70</v>
      </c>
    </row>
    <row r="28" spans="1:12" x14ac:dyDescent="0.3">
      <c r="A28" s="12" t="s">
        <v>115</v>
      </c>
    </row>
    <row r="29" spans="1:12" x14ac:dyDescent="0.3">
      <c r="A29" s="11" t="s">
        <v>114</v>
      </c>
      <c r="B29" s="10">
        <v>88</v>
      </c>
      <c r="C29" s="9">
        <v>50</v>
      </c>
      <c r="D29" s="9">
        <f>B29*C29</f>
        <v>4400</v>
      </c>
      <c r="F29" s="9">
        <v>3600</v>
      </c>
      <c r="G29" s="9">
        <v>1300</v>
      </c>
      <c r="H29" s="9">
        <v>600</v>
      </c>
      <c r="J29" s="9">
        <f>SUM(F29:H29)</f>
        <v>5500</v>
      </c>
      <c r="L29" s="9">
        <f>D29-J29</f>
        <v>-1100</v>
      </c>
    </row>
    <row r="30" spans="1:12" x14ac:dyDescent="0.3">
      <c r="A30" s="11" t="s">
        <v>113</v>
      </c>
      <c r="B30" s="10">
        <v>32</v>
      </c>
      <c r="C30" s="9">
        <v>50</v>
      </c>
      <c r="D30" s="9">
        <f t="shared" ref="D30:D32" si="6">B30*C30</f>
        <v>1600</v>
      </c>
      <c r="F30" s="9">
        <v>400</v>
      </c>
      <c r="G30" s="9"/>
      <c r="H30" s="9"/>
      <c r="J30" s="9">
        <f>SUM(F30:H30)</f>
        <v>400</v>
      </c>
      <c r="L30" s="9">
        <f>D30-J30</f>
        <v>1200</v>
      </c>
    </row>
    <row r="31" spans="1:12" x14ac:dyDescent="0.3">
      <c r="A31" s="11" t="s">
        <v>112</v>
      </c>
      <c r="B31" s="10">
        <v>21</v>
      </c>
      <c r="C31" s="9">
        <v>100</v>
      </c>
      <c r="D31" s="9">
        <f t="shared" si="6"/>
        <v>2100</v>
      </c>
      <c r="F31" s="9">
        <v>1600</v>
      </c>
      <c r="G31" s="9"/>
      <c r="H31" s="9"/>
      <c r="J31" s="9">
        <f>SUM(F31:H31)</f>
        <v>1600</v>
      </c>
      <c r="L31" s="9">
        <f>D31-J31</f>
        <v>500</v>
      </c>
    </row>
    <row r="32" spans="1:12" x14ac:dyDescent="0.3">
      <c r="A32" s="11" t="s">
        <v>111</v>
      </c>
      <c r="B32" s="10">
        <v>14</v>
      </c>
      <c r="C32" s="9">
        <v>90</v>
      </c>
      <c r="D32" s="9">
        <f t="shared" si="6"/>
        <v>1260</v>
      </c>
      <c r="F32" s="9">
        <v>1800</v>
      </c>
      <c r="G32" s="9"/>
      <c r="H32" s="9"/>
      <c r="J32" s="9">
        <f>SUM(F32:H32)</f>
        <v>1800</v>
      </c>
      <c r="L32" s="9">
        <f>D32-J32</f>
        <v>-540</v>
      </c>
    </row>
    <row r="34" spans="1:12" x14ac:dyDescent="0.3">
      <c r="A34" s="12" t="s">
        <v>110</v>
      </c>
    </row>
    <row r="35" spans="1:12" x14ac:dyDescent="0.3">
      <c r="A35" s="11" t="s">
        <v>109</v>
      </c>
      <c r="B35" s="10">
        <v>48</v>
      </c>
      <c r="C35" s="9">
        <v>20</v>
      </c>
      <c r="D35" s="9">
        <f t="shared" ref="D35:D41" si="7">B35*C35</f>
        <v>960</v>
      </c>
      <c r="F35" s="9">
        <v>300</v>
      </c>
      <c r="G35" s="9">
        <v>550</v>
      </c>
      <c r="H35" s="9">
        <v>200</v>
      </c>
      <c r="J35" s="9">
        <f t="shared" ref="J35:J41" si="8">SUM(F35:H35)</f>
        <v>1050</v>
      </c>
      <c r="L35" s="9">
        <f t="shared" ref="L35:L41" si="9">D35-J35</f>
        <v>-90</v>
      </c>
    </row>
    <row r="36" spans="1:12" x14ac:dyDescent="0.3">
      <c r="A36" s="11" t="s">
        <v>108</v>
      </c>
      <c r="B36" s="10">
        <v>20</v>
      </c>
      <c r="C36" s="9">
        <v>20</v>
      </c>
      <c r="D36" s="9">
        <f t="shared" si="7"/>
        <v>400</v>
      </c>
      <c r="F36" s="9">
        <v>300</v>
      </c>
      <c r="G36" s="9">
        <v>350</v>
      </c>
      <c r="H36" s="9">
        <v>80</v>
      </c>
      <c r="J36" s="9">
        <f t="shared" si="8"/>
        <v>730</v>
      </c>
      <c r="L36" s="9">
        <f t="shared" si="9"/>
        <v>-330</v>
      </c>
    </row>
    <row r="37" spans="1:12" x14ac:dyDescent="0.3">
      <c r="A37" s="11" t="s">
        <v>107</v>
      </c>
      <c r="B37" s="10">
        <v>40</v>
      </c>
      <c r="C37" s="9">
        <v>40</v>
      </c>
      <c r="D37" s="9">
        <f t="shared" si="7"/>
        <v>1600</v>
      </c>
      <c r="F37" s="9">
        <v>600</v>
      </c>
      <c r="G37" s="9">
        <v>400</v>
      </c>
      <c r="H37" s="9">
        <v>200</v>
      </c>
      <c r="J37" s="9">
        <f t="shared" si="8"/>
        <v>1200</v>
      </c>
      <c r="L37" s="9">
        <f t="shared" si="9"/>
        <v>400</v>
      </c>
    </row>
    <row r="38" spans="1:12" x14ac:dyDescent="0.3">
      <c r="A38" s="11" t="s">
        <v>106</v>
      </c>
      <c r="B38" s="10">
        <v>28</v>
      </c>
      <c r="C38" s="9">
        <v>60</v>
      </c>
      <c r="D38" s="9">
        <f t="shared" si="7"/>
        <v>1680</v>
      </c>
      <c r="F38" s="9">
        <v>450</v>
      </c>
      <c r="G38" s="9">
        <v>300</v>
      </c>
      <c r="H38" s="9">
        <v>160</v>
      </c>
      <c r="J38" s="9">
        <f t="shared" si="8"/>
        <v>910</v>
      </c>
      <c r="L38" s="9">
        <f t="shared" si="9"/>
        <v>770</v>
      </c>
    </row>
    <row r="39" spans="1:12" x14ac:dyDescent="0.3">
      <c r="A39" s="11" t="s">
        <v>105</v>
      </c>
      <c r="B39" s="10">
        <v>32</v>
      </c>
      <c r="C39" s="9">
        <v>80</v>
      </c>
      <c r="D39" s="9">
        <f t="shared" si="7"/>
        <v>2560</v>
      </c>
      <c r="F39" s="9">
        <v>600</v>
      </c>
      <c r="G39" s="9">
        <v>300</v>
      </c>
      <c r="H39" s="9">
        <v>160</v>
      </c>
      <c r="J39" s="9">
        <f t="shared" si="8"/>
        <v>1060</v>
      </c>
      <c r="L39" s="9">
        <f t="shared" si="9"/>
        <v>1500</v>
      </c>
    </row>
    <row r="40" spans="1:12" x14ac:dyDescent="0.3">
      <c r="A40" s="11" t="s">
        <v>104</v>
      </c>
      <c r="B40" s="10"/>
      <c r="C40" s="9"/>
      <c r="D40" s="9">
        <f t="shared" si="7"/>
        <v>0</v>
      </c>
      <c r="F40" s="9"/>
      <c r="G40" s="9"/>
      <c r="H40" s="9"/>
      <c r="J40" s="9">
        <f t="shared" si="8"/>
        <v>0</v>
      </c>
      <c r="L40" s="9">
        <f t="shared" si="9"/>
        <v>0</v>
      </c>
    </row>
    <row r="41" spans="1:12" x14ac:dyDescent="0.3">
      <c r="A41" s="11" t="s">
        <v>103</v>
      </c>
      <c r="B41" s="10">
        <v>26</v>
      </c>
      <c r="C41" s="9">
        <v>60</v>
      </c>
      <c r="D41" s="9">
        <f t="shared" si="7"/>
        <v>1560</v>
      </c>
      <c r="F41" s="9">
        <v>1200</v>
      </c>
      <c r="G41" s="9"/>
      <c r="H41" s="9"/>
      <c r="J41" s="9">
        <f t="shared" si="8"/>
        <v>1200</v>
      </c>
      <c r="L41" s="9">
        <f t="shared" si="9"/>
        <v>360</v>
      </c>
    </row>
    <row r="43" spans="1:12" ht="13.5" thickBot="1" x14ac:dyDescent="0.35"/>
    <row r="44" spans="1:12" ht="14" thickTop="1" thickBot="1" x14ac:dyDescent="0.35">
      <c r="D44" s="17">
        <f>SUM(D4:D41)</f>
        <v>63140</v>
      </c>
      <c r="E44" s="7">
        <f t="shared" ref="E44:H44" si="10">SUM(E4:E41)</f>
        <v>0</v>
      </c>
      <c r="F44" s="7">
        <f t="shared" si="10"/>
        <v>39050</v>
      </c>
      <c r="G44" s="7">
        <f t="shared" si="10"/>
        <v>11050</v>
      </c>
      <c r="H44" s="7">
        <f t="shared" si="10"/>
        <v>4120</v>
      </c>
      <c r="J44" s="17">
        <f>SUM(F44:H44)</f>
        <v>54220</v>
      </c>
      <c r="K44" s="12"/>
      <c r="L44" s="18">
        <f>D44-J44</f>
        <v>8920</v>
      </c>
    </row>
    <row r="45" spans="1:12" ht="13.5" thickTop="1" x14ac:dyDescent="0.3"/>
  </sheetData>
  <mergeCells count="7">
    <mergeCell ref="N1:N2"/>
    <mergeCell ref="B1:B2"/>
    <mergeCell ref="C1:C2"/>
    <mergeCell ref="D1:D2"/>
    <mergeCell ref="F1:H1"/>
    <mergeCell ref="J1:J2"/>
    <mergeCell ref="L1:L2"/>
  </mergeCells>
  <pageMargins left="0.11811023622047245" right="0.11811023622047245" top="0.15748031496062992" bottom="0.15748031496062992" header="0.11811023622047245" footer="0.11811023622047245"/>
  <pageSetup paperSize="8" scale="1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2335-7522-4D9B-A6D7-F081258B08C8}">
  <sheetPr>
    <pageSetUpPr fitToPage="1"/>
  </sheetPr>
  <dimension ref="A1:N21"/>
  <sheetViews>
    <sheetView workbookViewId="0">
      <selection activeCell="A13" sqref="A13"/>
    </sheetView>
  </sheetViews>
  <sheetFormatPr defaultRowHeight="12.5" x14ac:dyDescent="0.25"/>
  <cols>
    <col min="1" max="1" width="50" bestFit="1" customWidth="1"/>
    <col min="2" max="2" width="9.26953125" bestFit="1" customWidth="1"/>
    <col min="3" max="3" width="11.1796875" bestFit="1" customWidth="1"/>
    <col min="4" max="4" width="10.26953125" bestFit="1" customWidth="1"/>
    <col min="5" max="5" width="10.1796875" bestFit="1" customWidth="1"/>
    <col min="6" max="6" width="9.26953125" bestFit="1" customWidth="1"/>
    <col min="7" max="7" width="10.1796875" bestFit="1" customWidth="1"/>
    <col min="8" max="8" width="10.36328125" customWidth="1"/>
    <col min="9" max="9" width="13.26953125" customWidth="1"/>
    <col min="10" max="13" width="8.81640625" bestFit="1" customWidth="1"/>
    <col min="14" max="14" width="22.36328125" bestFit="1" customWidth="1"/>
  </cols>
  <sheetData>
    <row r="1" spans="1:14" ht="40" x14ac:dyDescent="0.25">
      <c r="A1" s="56" t="s">
        <v>190</v>
      </c>
    </row>
    <row r="2" spans="1:14" ht="14" x14ac:dyDescent="0.25">
      <c r="B2" s="75" t="s">
        <v>178</v>
      </c>
      <c r="C2" s="75" t="s">
        <v>178</v>
      </c>
      <c r="D2" s="75" t="s">
        <v>178</v>
      </c>
      <c r="E2" s="75" t="s">
        <v>178</v>
      </c>
      <c r="F2" s="75" t="s">
        <v>178</v>
      </c>
      <c r="G2" s="75" t="s">
        <v>178</v>
      </c>
      <c r="H2" s="75" t="s">
        <v>178</v>
      </c>
      <c r="I2" s="75" t="s">
        <v>178</v>
      </c>
      <c r="J2" s="75" t="s">
        <v>178</v>
      </c>
      <c r="K2" s="75" t="s">
        <v>178</v>
      </c>
      <c r="L2" s="75" t="s">
        <v>178</v>
      </c>
      <c r="M2" s="75" t="s">
        <v>178</v>
      </c>
    </row>
    <row r="3" spans="1:14" ht="14" x14ac:dyDescent="0.25">
      <c r="B3" s="76">
        <v>45413</v>
      </c>
      <c r="C3" s="76">
        <v>45444</v>
      </c>
      <c r="D3" s="76">
        <v>45474</v>
      </c>
      <c r="E3" s="76">
        <v>45505</v>
      </c>
      <c r="F3" s="76">
        <v>45536</v>
      </c>
      <c r="G3" s="76">
        <v>45566</v>
      </c>
      <c r="H3" s="76">
        <v>45597</v>
      </c>
      <c r="I3" s="76">
        <v>45627</v>
      </c>
      <c r="J3" s="76">
        <v>45658</v>
      </c>
      <c r="K3" s="76">
        <v>45689</v>
      </c>
      <c r="L3" s="76">
        <v>45717</v>
      </c>
      <c r="M3" s="76">
        <v>45748</v>
      </c>
      <c r="N3" s="32" t="s">
        <v>185</v>
      </c>
    </row>
    <row r="5" spans="1:14" ht="13" x14ac:dyDescent="0.3">
      <c r="A5" s="114" t="s">
        <v>188</v>
      </c>
    </row>
    <row r="7" spans="1:14" x14ac:dyDescent="0.25">
      <c r="B7" s="132">
        <v>45413</v>
      </c>
      <c r="C7" s="132">
        <v>45444</v>
      </c>
      <c r="D7" s="132">
        <v>45474</v>
      </c>
      <c r="E7" s="132">
        <v>45505</v>
      </c>
      <c r="F7" s="132">
        <v>45536</v>
      </c>
      <c r="G7" s="132">
        <v>45566</v>
      </c>
      <c r="H7" s="132">
        <v>45597</v>
      </c>
      <c r="I7" s="132">
        <v>45627</v>
      </c>
      <c r="J7" s="132">
        <v>45658</v>
      </c>
      <c r="K7" s="132">
        <v>45689</v>
      </c>
      <c r="L7" s="132">
        <v>45717</v>
      </c>
      <c r="M7" s="132">
        <v>45748</v>
      </c>
    </row>
    <row r="8" spans="1:14" x14ac:dyDescent="0.25">
      <c r="A8" s="32" t="s">
        <v>195</v>
      </c>
      <c r="C8" s="115"/>
      <c r="N8" s="32" t="s">
        <v>186</v>
      </c>
    </row>
    <row r="9" spans="1:14" x14ac:dyDescent="0.25">
      <c r="A9" s="32" t="s">
        <v>196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N9" s="32" t="s">
        <v>186</v>
      </c>
    </row>
    <row r="10" spans="1:14" x14ac:dyDescent="0.25">
      <c r="A10" s="32" t="s">
        <v>197</v>
      </c>
      <c r="B10" s="32"/>
      <c r="C10" s="123"/>
      <c r="D10" s="115"/>
      <c r="E10" s="115"/>
      <c r="F10" s="115"/>
      <c r="G10" s="115"/>
      <c r="H10" s="115"/>
      <c r="I10" s="115"/>
      <c r="J10" s="115"/>
      <c r="K10" s="115"/>
      <c r="L10" s="115"/>
      <c r="N10" s="125" t="s">
        <v>187</v>
      </c>
    </row>
    <row r="11" spans="1:14" x14ac:dyDescent="0.25">
      <c r="A11" s="32" t="s">
        <v>198</v>
      </c>
      <c r="B11" s="32"/>
      <c r="C11" s="123"/>
      <c r="D11" s="115"/>
      <c r="E11" s="115"/>
      <c r="F11" s="115"/>
      <c r="G11" s="115"/>
      <c r="H11" s="115"/>
      <c r="I11" s="115"/>
      <c r="J11" s="115"/>
      <c r="K11" s="115"/>
      <c r="L11" s="115"/>
      <c r="N11" s="125" t="s">
        <v>187</v>
      </c>
    </row>
    <row r="12" spans="1:14" x14ac:dyDescent="0.25">
      <c r="A12" s="32" t="s">
        <v>199</v>
      </c>
      <c r="B12" s="121"/>
      <c r="C12" s="122"/>
      <c r="D12" s="115"/>
      <c r="E12" s="115"/>
      <c r="F12" s="115"/>
      <c r="G12" s="115"/>
      <c r="H12" s="115"/>
      <c r="I12" s="115"/>
      <c r="J12" s="115"/>
      <c r="K12" s="115"/>
      <c r="L12" s="115"/>
      <c r="N12" s="32" t="s">
        <v>186</v>
      </c>
    </row>
    <row r="13" spans="1:14" x14ac:dyDescent="0.25">
      <c r="A13" s="32" t="s">
        <v>200</v>
      </c>
      <c r="B13" s="121"/>
      <c r="C13" s="122"/>
      <c r="D13" s="115"/>
      <c r="E13" s="115"/>
      <c r="F13" s="115"/>
      <c r="G13" s="115"/>
      <c r="H13" s="115"/>
      <c r="I13" s="115"/>
      <c r="J13" s="115"/>
      <c r="K13" s="115"/>
      <c r="L13" s="115"/>
      <c r="N13" s="125" t="s">
        <v>189</v>
      </c>
    </row>
    <row r="14" spans="1:14" x14ac:dyDescent="0.25">
      <c r="A14" s="32" t="s">
        <v>201</v>
      </c>
      <c r="B14" s="32"/>
      <c r="C14" s="124"/>
      <c r="D14" s="115"/>
      <c r="E14" s="115"/>
      <c r="F14" s="115"/>
      <c r="G14" s="115"/>
      <c r="H14" s="115"/>
      <c r="I14" s="115"/>
      <c r="J14" s="115"/>
      <c r="K14" s="115"/>
      <c r="L14" s="115"/>
      <c r="N14" s="32" t="s">
        <v>186</v>
      </c>
    </row>
    <row r="15" spans="1:14" x14ac:dyDescent="0.25">
      <c r="A15" s="32" t="s">
        <v>202</v>
      </c>
      <c r="B15" s="32"/>
      <c r="C15" s="124"/>
      <c r="D15" s="115"/>
      <c r="E15" s="115"/>
      <c r="F15" s="115"/>
      <c r="G15" s="115"/>
      <c r="H15" s="115"/>
      <c r="I15" s="115"/>
      <c r="J15" s="115"/>
      <c r="K15" s="115"/>
      <c r="L15" s="115"/>
      <c r="N15" s="125" t="s">
        <v>187</v>
      </c>
    </row>
    <row r="16" spans="1:14" x14ac:dyDescent="0.25">
      <c r="A16" s="32" t="s">
        <v>203</v>
      </c>
      <c r="B16" s="115"/>
      <c r="C16" s="124"/>
      <c r="D16" s="115"/>
      <c r="E16" s="115"/>
      <c r="F16" s="115"/>
      <c r="G16" s="115"/>
      <c r="H16" s="115"/>
      <c r="I16" s="115"/>
      <c r="J16" s="115"/>
      <c r="K16" s="115"/>
      <c r="L16" s="115"/>
      <c r="N16" s="32" t="s">
        <v>186</v>
      </c>
    </row>
    <row r="17" spans="1:14" x14ac:dyDescent="0.25">
      <c r="A17" s="32" t="s">
        <v>204</v>
      </c>
      <c r="B17" s="115"/>
      <c r="C17" s="124"/>
      <c r="D17" s="115"/>
      <c r="E17" s="115"/>
      <c r="F17" s="115"/>
      <c r="G17" s="115"/>
      <c r="H17" s="115"/>
      <c r="I17" s="115"/>
      <c r="J17" s="115"/>
      <c r="K17" s="115"/>
      <c r="L17" s="115"/>
      <c r="N17" s="32"/>
    </row>
    <row r="18" spans="1:14" x14ac:dyDescent="0.25">
      <c r="A18" s="32" t="s">
        <v>205</v>
      </c>
      <c r="B18" s="115"/>
      <c r="C18" s="124"/>
      <c r="D18" s="115"/>
      <c r="E18" s="115"/>
      <c r="F18" s="115"/>
      <c r="G18" s="115"/>
      <c r="H18" s="115"/>
      <c r="I18" s="115"/>
      <c r="J18" s="115"/>
      <c r="K18" s="115"/>
      <c r="L18" s="115"/>
      <c r="N18" s="32"/>
    </row>
    <row r="19" spans="1:14" x14ac:dyDescent="0.25">
      <c r="A19" s="32" t="s">
        <v>206</v>
      </c>
      <c r="B19" s="115"/>
      <c r="C19" s="124"/>
      <c r="D19" s="115"/>
      <c r="E19" s="115"/>
      <c r="F19" s="115"/>
      <c r="G19" s="115"/>
      <c r="H19" s="115"/>
      <c r="I19" s="115"/>
      <c r="J19" s="115"/>
      <c r="K19" s="115"/>
      <c r="L19" s="115"/>
      <c r="N19" s="32"/>
    </row>
    <row r="21" spans="1:14" ht="13.5" thickBot="1" x14ac:dyDescent="0.35">
      <c r="A21" t="s">
        <v>181</v>
      </c>
      <c r="B21" s="127">
        <f>B16</f>
        <v>0</v>
      </c>
      <c r="C21" s="127">
        <f>SUM(C8:C20)</f>
        <v>0</v>
      </c>
      <c r="D21" s="127">
        <f t="shared" ref="D21:M21" si="0">SUM(D8:D20)</f>
        <v>0</v>
      </c>
      <c r="E21" s="127">
        <f t="shared" si="0"/>
        <v>0</v>
      </c>
      <c r="F21" s="127">
        <f t="shared" si="0"/>
        <v>0</v>
      </c>
      <c r="G21" s="127">
        <f t="shared" si="0"/>
        <v>0</v>
      </c>
      <c r="H21" s="127">
        <f t="shared" si="0"/>
        <v>0</v>
      </c>
      <c r="I21" s="127">
        <f t="shared" si="0"/>
        <v>0</v>
      </c>
      <c r="J21" s="127">
        <f t="shared" si="0"/>
        <v>0</v>
      </c>
      <c r="K21" s="127">
        <f t="shared" si="0"/>
        <v>0</v>
      </c>
      <c r="L21" s="127">
        <f t="shared" si="0"/>
        <v>0</v>
      </c>
      <c r="M21" s="127">
        <f t="shared" si="0"/>
        <v>0</v>
      </c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0B66-7A09-464B-9378-F302CD42C02A}">
  <sheetPr>
    <pageSetUpPr fitToPage="1"/>
  </sheetPr>
  <dimension ref="A3:P14"/>
  <sheetViews>
    <sheetView zoomScale="90" zoomScaleNormal="90" workbookViewId="0">
      <selection activeCell="P4" sqref="P4:P5"/>
    </sheetView>
  </sheetViews>
  <sheetFormatPr defaultRowHeight="12.5" x14ac:dyDescent="0.25"/>
  <cols>
    <col min="1" max="1" width="39.453125" customWidth="1"/>
    <col min="2" max="2" width="13.1796875" bestFit="1" customWidth="1"/>
    <col min="3" max="3" width="14.81640625" customWidth="1"/>
    <col min="4" max="4" width="11.54296875" customWidth="1"/>
    <col min="5" max="5" width="12.1796875" customWidth="1"/>
    <col min="6" max="7" width="11.1796875" bestFit="1" customWidth="1"/>
    <col min="8" max="13" width="11.1796875" customWidth="1"/>
    <col min="14" max="14" width="11.54296875" customWidth="1"/>
    <col min="15" max="15" width="10.54296875" customWidth="1"/>
    <col min="16" max="16" width="12.54296875" customWidth="1"/>
  </cols>
  <sheetData>
    <row r="3" spans="1:16" ht="13" x14ac:dyDescent="0.3">
      <c r="A3" s="23" t="s">
        <v>140</v>
      </c>
      <c r="B3" s="24" t="s">
        <v>141</v>
      </c>
      <c r="C3" s="24" t="s">
        <v>142</v>
      </c>
      <c r="D3" s="25">
        <v>45413</v>
      </c>
      <c r="E3" s="25">
        <v>45444</v>
      </c>
      <c r="F3" s="25">
        <v>45474</v>
      </c>
      <c r="G3" s="25">
        <v>45505</v>
      </c>
      <c r="H3" s="25">
        <v>45536</v>
      </c>
      <c r="I3" s="25">
        <v>45566</v>
      </c>
      <c r="J3" s="25">
        <v>45597</v>
      </c>
      <c r="K3" s="25">
        <v>45627</v>
      </c>
      <c r="L3" s="25">
        <v>45658</v>
      </c>
      <c r="M3" s="25">
        <v>45689</v>
      </c>
      <c r="N3" s="25">
        <v>45717</v>
      </c>
      <c r="O3" s="25">
        <v>45748</v>
      </c>
      <c r="P3" s="25" t="s">
        <v>139</v>
      </c>
    </row>
    <row r="4" spans="1:16" x14ac:dyDescent="0.25">
      <c r="A4" s="26"/>
      <c r="B4" s="27"/>
      <c r="C4" s="27">
        <f>B4/12</f>
        <v>0</v>
      </c>
      <c r="D4" s="28">
        <f t="shared" ref="D4:G5" si="0">+$C4</f>
        <v>0</v>
      </c>
      <c r="E4" s="28">
        <f t="shared" si="0"/>
        <v>0</v>
      </c>
      <c r="F4" s="28">
        <f t="shared" si="0"/>
        <v>0</v>
      </c>
      <c r="G4" s="28">
        <f>+$C4</f>
        <v>0</v>
      </c>
      <c r="H4" s="28">
        <f t="shared" ref="H4:O5" si="1">+$C4</f>
        <v>0</v>
      </c>
      <c r="I4" s="28">
        <f t="shared" si="1"/>
        <v>0</v>
      </c>
      <c r="J4" s="28">
        <f t="shared" si="1"/>
        <v>0</v>
      </c>
      <c r="K4" s="28">
        <f t="shared" si="1"/>
        <v>0</v>
      </c>
      <c r="L4" s="28">
        <f t="shared" si="1"/>
        <v>0</v>
      </c>
      <c r="M4" s="28">
        <f t="shared" si="1"/>
        <v>0</v>
      </c>
      <c r="N4" s="28">
        <f t="shared" si="1"/>
        <v>0</v>
      </c>
      <c r="O4" s="28">
        <f t="shared" si="1"/>
        <v>0</v>
      </c>
      <c r="P4" s="28">
        <f>SUM(D4:O4)</f>
        <v>0</v>
      </c>
    </row>
    <row r="5" spans="1:16" x14ac:dyDescent="0.25">
      <c r="A5" s="26"/>
      <c r="B5" s="27"/>
      <c r="C5" s="27">
        <f>B5/12</f>
        <v>0</v>
      </c>
      <c r="D5" s="28">
        <f>+$C5</f>
        <v>0</v>
      </c>
      <c r="E5" s="28">
        <f t="shared" si="0"/>
        <v>0</v>
      </c>
      <c r="F5" s="28">
        <f t="shared" si="0"/>
        <v>0</v>
      </c>
      <c r="G5" s="28">
        <f t="shared" si="0"/>
        <v>0</v>
      </c>
      <c r="H5" s="28">
        <f t="shared" si="1"/>
        <v>0</v>
      </c>
      <c r="I5" s="28">
        <f t="shared" si="1"/>
        <v>0</v>
      </c>
      <c r="J5" s="28">
        <f t="shared" si="1"/>
        <v>0</v>
      </c>
      <c r="K5" s="28">
        <f t="shared" si="1"/>
        <v>0</v>
      </c>
      <c r="L5" s="28">
        <f t="shared" si="1"/>
        <v>0</v>
      </c>
      <c r="M5" s="28">
        <f t="shared" si="1"/>
        <v>0</v>
      </c>
      <c r="N5" s="28">
        <f t="shared" si="1"/>
        <v>0</v>
      </c>
      <c r="O5" s="28">
        <f t="shared" si="1"/>
        <v>0</v>
      </c>
      <c r="P5" s="28">
        <f>SUM(D5:O5)</f>
        <v>0</v>
      </c>
    </row>
    <row r="6" spans="1:16" x14ac:dyDescent="0.25">
      <c r="A6" s="26"/>
      <c r="B6" s="27"/>
      <c r="C6" s="27">
        <f>+B6/12</f>
        <v>0</v>
      </c>
      <c r="D6" s="28">
        <f>+$C6</f>
        <v>0</v>
      </c>
      <c r="E6" s="28">
        <f t="shared" ref="E6:O6" si="2">+$C6</f>
        <v>0</v>
      </c>
      <c r="F6" s="28">
        <f t="shared" si="2"/>
        <v>0</v>
      </c>
      <c r="G6" s="28">
        <f t="shared" si="2"/>
        <v>0</v>
      </c>
      <c r="H6" s="28">
        <f t="shared" si="2"/>
        <v>0</v>
      </c>
      <c r="I6" s="28">
        <f t="shared" si="2"/>
        <v>0</v>
      </c>
      <c r="J6" s="28">
        <f t="shared" si="2"/>
        <v>0</v>
      </c>
      <c r="K6" s="28">
        <f t="shared" si="2"/>
        <v>0</v>
      </c>
      <c r="L6" s="28">
        <f t="shared" si="2"/>
        <v>0</v>
      </c>
      <c r="M6" s="28">
        <f t="shared" si="2"/>
        <v>0</v>
      </c>
      <c r="N6" s="28">
        <f t="shared" si="2"/>
        <v>0</v>
      </c>
      <c r="O6" s="28">
        <f t="shared" si="2"/>
        <v>0</v>
      </c>
      <c r="P6" s="28">
        <f t="shared" ref="P6" si="3">SUM(D6:O6)</f>
        <v>0</v>
      </c>
    </row>
    <row r="7" spans="1:16" x14ac:dyDescent="0.25">
      <c r="A7" s="29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8"/>
    </row>
    <row r="8" spans="1:16" ht="13" x14ac:dyDescent="0.3">
      <c r="A8" s="23" t="s">
        <v>143</v>
      </c>
      <c r="B8" s="30">
        <f t="shared" ref="B8:P8" si="4">SUM(B4:B7)</f>
        <v>0</v>
      </c>
      <c r="C8" s="30">
        <f t="shared" si="4"/>
        <v>0</v>
      </c>
      <c r="D8" s="30">
        <f t="shared" si="4"/>
        <v>0</v>
      </c>
      <c r="E8" s="30">
        <f t="shared" si="4"/>
        <v>0</v>
      </c>
      <c r="F8" s="30">
        <f t="shared" si="4"/>
        <v>0</v>
      </c>
      <c r="G8" s="30">
        <f t="shared" si="4"/>
        <v>0</v>
      </c>
      <c r="H8" s="30">
        <f t="shared" si="4"/>
        <v>0</v>
      </c>
      <c r="I8" s="30">
        <f t="shared" si="4"/>
        <v>0</v>
      </c>
      <c r="J8" s="30">
        <f t="shared" si="4"/>
        <v>0</v>
      </c>
      <c r="K8" s="30">
        <f t="shared" si="4"/>
        <v>0</v>
      </c>
      <c r="L8" s="30">
        <f t="shared" si="4"/>
        <v>0</v>
      </c>
      <c r="M8" s="30">
        <f t="shared" si="4"/>
        <v>0</v>
      </c>
      <c r="N8" s="30">
        <f t="shared" si="4"/>
        <v>0</v>
      </c>
      <c r="O8" s="30">
        <f t="shared" si="4"/>
        <v>0</v>
      </c>
      <c r="P8" s="30">
        <f t="shared" si="4"/>
        <v>0</v>
      </c>
    </row>
    <row r="9" spans="1:16" x14ac:dyDescent="0.25">
      <c r="B9" s="21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25">
      <c r="B10" s="19"/>
      <c r="C10" s="19"/>
    </row>
    <row r="11" spans="1:16" x14ac:dyDescent="0.25">
      <c r="B11" s="19"/>
      <c r="C11" s="19"/>
    </row>
    <row r="12" spans="1:16" x14ac:dyDescent="0.25">
      <c r="B12" s="19"/>
      <c r="C12" s="19"/>
    </row>
    <row r="13" spans="1:16" x14ac:dyDescent="0.25">
      <c r="B13" s="19"/>
      <c r="C13" s="19"/>
    </row>
    <row r="14" spans="1:16" x14ac:dyDescent="0.25">
      <c r="B14" s="19"/>
      <c r="C14" s="19"/>
    </row>
  </sheetData>
  <pageMargins left="0.11811023622047245" right="0.11811023622047245" top="0.74803149606299213" bottom="0.74803149606299213" header="0.31496062992125984" footer="0.31496062992125984"/>
  <pageSetup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B1B84-66EC-4F66-BD27-20BE5F6FDD0F}">
  <sheetPr>
    <pageSetUpPr fitToPage="1"/>
  </sheetPr>
  <dimension ref="A1:F124"/>
  <sheetViews>
    <sheetView showGridLines="0" topLeftCell="B1" zoomScale="80" zoomScaleNormal="80" workbookViewId="0">
      <pane xSplit="2" ySplit="4" topLeftCell="D5" activePane="bottomRight" state="frozen"/>
      <selection activeCell="B1" sqref="B1"/>
      <selection pane="topRight" activeCell="C1" sqref="C1"/>
      <selection pane="bottomLeft" activeCell="B5" sqref="B5"/>
      <selection pane="bottomRight" activeCell="K42" sqref="K42"/>
    </sheetView>
  </sheetViews>
  <sheetFormatPr defaultRowHeight="13" x14ac:dyDescent="0.3"/>
  <cols>
    <col min="1" max="1" width="1" customWidth="1"/>
    <col min="2" max="2" width="2.81640625" customWidth="1"/>
    <col min="3" max="3" width="44.7265625" customWidth="1"/>
    <col min="4" max="4" width="48.453125" customWidth="1"/>
    <col min="5" max="5" width="11.81640625" style="20" customWidth="1"/>
    <col min="6" max="6" width="11.81640625" customWidth="1"/>
  </cols>
  <sheetData>
    <row r="1" spans="1:6" ht="21" customHeight="1" x14ac:dyDescent="0.25">
      <c r="C1" s="56" t="s">
        <v>0</v>
      </c>
      <c r="D1" s="56"/>
      <c r="E1" s="1"/>
      <c r="F1" s="1"/>
    </row>
    <row r="2" spans="1:6" ht="18" customHeight="1" x14ac:dyDescent="0.25">
      <c r="C2" s="3" t="s">
        <v>1</v>
      </c>
      <c r="D2" s="3"/>
      <c r="E2" s="3"/>
      <c r="F2" s="2"/>
    </row>
    <row r="3" spans="1:6" ht="22.5" customHeight="1" x14ac:dyDescent="0.4">
      <c r="C3" s="77" t="s">
        <v>165</v>
      </c>
      <c r="D3" s="81"/>
      <c r="E3" s="3"/>
      <c r="F3" s="2"/>
    </row>
    <row r="4" spans="1:6" s="5" customFormat="1" ht="26.5" customHeight="1" x14ac:dyDescent="0.25">
      <c r="A4" s="4"/>
      <c r="B4" s="4"/>
      <c r="C4" s="34" t="s">
        <v>2</v>
      </c>
      <c r="D4" s="83" t="s">
        <v>167</v>
      </c>
      <c r="E4" s="75" t="s">
        <v>166</v>
      </c>
      <c r="F4" s="82" t="s">
        <v>97</v>
      </c>
    </row>
    <row r="5" spans="1:6" ht="13" customHeight="1" x14ac:dyDescent="0.25">
      <c r="C5" s="36" t="s">
        <v>3</v>
      </c>
      <c r="D5" s="84"/>
      <c r="E5" s="84"/>
      <c r="F5" s="38"/>
    </row>
    <row r="6" spans="1:6" s="32" customFormat="1" ht="15" customHeight="1" x14ac:dyDescent="0.25">
      <c r="A6" s="31"/>
      <c r="B6" s="31"/>
      <c r="C6" s="36" t="s">
        <v>4</v>
      </c>
      <c r="D6" s="84"/>
      <c r="E6" s="84"/>
      <c r="F6" s="38"/>
    </row>
    <row r="7" spans="1:6" s="32" customFormat="1" ht="15" customHeight="1" x14ac:dyDescent="0.25">
      <c r="C7" s="39" t="s">
        <v>5</v>
      </c>
      <c r="D7" s="39" t="s">
        <v>5</v>
      </c>
      <c r="E7" s="92">
        <v>45114.23</v>
      </c>
      <c r="F7" s="42">
        <v>45362</v>
      </c>
    </row>
    <row r="8" spans="1:6" s="32" customFormat="1" ht="15" customHeight="1" x14ac:dyDescent="0.25">
      <c r="C8" s="39" t="s">
        <v>6</v>
      </c>
      <c r="D8" s="39" t="s">
        <v>6</v>
      </c>
      <c r="E8" s="92">
        <v>8733.35</v>
      </c>
      <c r="F8" s="42">
        <v>20000</v>
      </c>
    </row>
    <row r="9" spans="1:6" s="32" customFormat="1" ht="15" customHeight="1" x14ac:dyDescent="0.25">
      <c r="C9" s="39" t="s">
        <v>7</v>
      </c>
      <c r="D9" s="39" t="s">
        <v>7</v>
      </c>
      <c r="E9" s="92">
        <v>62038.740000000005</v>
      </c>
      <c r="F9" s="42">
        <v>53048</v>
      </c>
    </row>
    <row r="10" spans="1:6" s="32" customFormat="1" ht="15" customHeight="1" x14ac:dyDescent="0.25">
      <c r="C10" s="39" t="s">
        <v>100</v>
      </c>
      <c r="D10" s="98" t="s">
        <v>99</v>
      </c>
      <c r="E10" s="92">
        <v>0</v>
      </c>
      <c r="F10" s="42">
        <v>7435</v>
      </c>
    </row>
    <row r="11" spans="1:6" s="32" customFormat="1" ht="15" customHeight="1" x14ac:dyDescent="0.25">
      <c r="C11" s="39" t="s">
        <v>8</v>
      </c>
      <c r="D11" s="98" t="s">
        <v>99</v>
      </c>
      <c r="E11" s="92">
        <v>3174</v>
      </c>
      <c r="F11" s="42">
        <v>3931</v>
      </c>
    </row>
    <row r="12" spans="1:6" s="32" customFormat="1" ht="15" customHeight="1" x14ac:dyDescent="0.25">
      <c r="C12" s="39" t="s">
        <v>9</v>
      </c>
      <c r="D12" s="85"/>
      <c r="E12" s="92">
        <v>0</v>
      </c>
      <c r="F12" s="42">
        <v>0</v>
      </c>
    </row>
    <row r="13" spans="1:6" s="32" customFormat="1" ht="15" customHeight="1" x14ac:dyDescent="0.25">
      <c r="C13" s="39" t="s">
        <v>10</v>
      </c>
      <c r="D13" s="98" t="s">
        <v>99</v>
      </c>
      <c r="E13" s="92">
        <v>269.92</v>
      </c>
      <c r="F13" s="42">
        <v>835</v>
      </c>
    </row>
    <row r="14" spans="1:6" s="32" customFormat="1" ht="15" customHeight="1" x14ac:dyDescent="0.25">
      <c r="C14" s="43" t="s">
        <v>11</v>
      </c>
      <c r="D14" s="86"/>
      <c r="E14" s="92">
        <f>SUM(E7:E13)</f>
        <v>119330.24000000001</v>
      </c>
      <c r="F14" s="44">
        <f>SUM(F7:F13)</f>
        <v>130611</v>
      </c>
    </row>
    <row r="15" spans="1:6" s="32" customFormat="1" ht="15" customHeight="1" x14ac:dyDescent="0.25">
      <c r="A15" s="31"/>
      <c r="B15" s="31"/>
      <c r="C15" s="36" t="s">
        <v>12</v>
      </c>
      <c r="D15" s="84"/>
      <c r="E15" s="93"/>
      <c r="F15" s="46"/>
    </row>
    <row r="16" spans="1:6" s="32" customFormat="1" ht="15" customHeight="1" x14ac:dyDescent="0.25">
      <c r="C16" s="39" t="s">
        <v>13</v>
      </c>
      <c r="D16" s="85" t="s">
        <v>169</v>
      </c>
      <c r="E16" s="92">
        <v>260001</v>
      </c>
      <c r="F16" s="42">
        <v>400000</v>
      </c>
    </row>
    <row r="17" spans="1:6" s="32" customFormat="1" ht="15" customHeight="1" x14ac:dyDescent="0.25">
      <c r="C17" s="39" t="s">
        <v>14</v>
      </c>
      <c r="D17" s="85" t="s">
        <v>169</v>
      </c>
      <c r="E17" s="92">
        <v>25000</v>
      </c>
      <c r="F17" s="42">
        <v>40031</v>
      </c>
    </row>
    <row r="18" spans="1:6" s="32" customFormat="1" ht="15" customHeight="1" x14ac:dyDescent="0.25">
      <c r="C18" s="39" t="s">
        <v>15</v>
      </c>
      <c r="D18" s="85"/>
      <c r="E18" s="92">
        <v>0</v>
      </c>
      <c r="F18" s="42">
        <v>0</v>
      </c>
    </row>
    <row r="19" spans="1:6" s="32" customFormat="1" ht="15" customHeight="1" x14ac:dyDescent="0.25">
      <c r="C19" s="39" t="s">
        <v>16</v>
      </c>
      <c r="D19" s="85" t="s">
        <v>169</v>
      </c>
      <c r="E19" s="92">
        <v>98800</v>
      </c>
      <c r="F19" s="42">
        <v>0</v>
      </c>
    </row>
    <row r="20" spans="1:6" s="32" customFormat="1" ht="15" customHeight="1" x14ac:dyDescent="0.25">
      <c r="C20" s="39" t="s">
        <v>17</v>
      </c>
      <c r="D20" s="85" t="s">
        <v>170</v>
      </c>
      <c r="E20" s="92">
        <v>57935.000000000007</v>
      </c>
      <c r="F20" s="42">
        <v>2929</v>
      </c>
    </row>
    <row r="21" spans="1:6" s="32" customFormat="1" ht="15" customHeight="1" x14ac:dyDescent="0.25">
      <c r="C21" s="39" t="s">
        <v>99</v>
      </c>
      <c r="D21" s="98" t="s">
        <v>99</v>
      </c>
      <c r="E21" s="92">
        <v>217</v>
      </c>
      <c r="F21" s="42">
        <f>348+504</f>
        <v>852</v>
      </c>
    </row>
    <row r="22" spans="1:6" s="32" customFormat="1" ht="15" customHeight="1" x14ac:dyDescent="0.25">
      <c r="C22" s="43" t="s">
        <v>18</v>
      </c>
      <c r="D22" s="86"/>
      <c r="E22" s="92">
        <f>SUM(E16:E21)</f>
        <v>441953</v>
      </c>
      <c r="F22" s="44">
        <f>SUM(F16:F21)</f>
        <v>443812</v>
      </c>
    </row>
    <row r="23" spans="1:6" s="32" customFormat="1" ht="15" customHeight="1" x14ac:dyDescent="0.25">
      <c r="A23" s="31"/>
      <c r="B23" s="31"/>
      <c r="C23" s="36" t="s">
        <v>19</v>
      </c>
      <c r="D23" s="84"/>
      <c r="E23" s="93"/>
      <c r="F23" s="46"/>
    </row>
    <row r="24" spans="1:6" s="32" customFormat="1" ht="15" customHeight="1" x14ac:dyDescent="0.25">
      <c r="C24" s="39" t="s">
        <v>20</v>
      </c>
      <c r="D24" s="85" t="s">
        <v>169</v>
      </c>
      <c r="E24" s="92">
        <v>54559.979999999996</v>
      </c>
      <c r="F24" s="42">
        <v>0</v>
      </c>
    </row>
    <row r="25" spans="1:6" s="32" customFormat="1" ht="15" customHeight="1" x14ac:dyDescent="0.25">
      <c r="C25" s="39" t="s">
        <v>21</v>
      </c>
      <c r="D25" s="85" t="s">
        <v>169</v>
      </c>
      <c r="E25" s="92">
        <v>346747</v>
      </c>
      <c r="F25" s="42">
        <v>297651</v>
      </c>
    </row>
    <row r="26" spans="1:6" s="32" customFormat="1" ht="15" customHeight="1" x14ac:dyDescent="0.25">
      <c r="C26" s="39" t="s">
        <v>98</v>
      </c>
      <c r="D26" s="85"/>
      <c r="E26" s="92">
        <v>0</v>
      </c>
      <c r="F26" s="42">
        <v>0</v>
      </c>
    </row>
    <row r="27" spans="1:6" s="32" customFormat="1" ht="15" customHeight="1" x14ac:dyDescent="0.25">
      <c r="C27" s="39" t="s">
        <v>22</v>
      </c>
      <c r="D27" s="85"/>
      <c r="E27" s="92">
        <v>0</v>
      </c>
      <c r="F27" s="42">
        <v>0</v>
      </c>
    </row>
    <row r="28" spans="1:6" s="32" customFormat="1" ht="15" customHeight="1" x14ac:dyDescent="0.25">
      <c r="C28" s="43" t="s">
        <v>23</v>
      </c>
      <c r="D28" s="86"/>
      <c r="E28" s="92">
        <f>SUM(E24:E27)</f>
        <v>401306.98</v>
      </c>
      <c r="F28" s="44">
        <f>SUM(F24:F27)</f>
        <v>297651</v>
      </c>
    </row>
    <row r="29" spans="1:6" s="32" customFormat="1" ht="15" customHeight="1" x14ac:dyDescent="0.25">
      <c r="A29" s="31"/>
      <c r="B29" s="31"/>
      <c r="C29" s="36" t="s">
        <v>24</v>
      </c>
      <c r="D29" s="84"/>
      <c r="E29" s="93"/>
      <c r="F29" s="46"/>
    </row>
    <row r="30" spans="1:6" s="32" customFormat="1" ht="15" customHeight="1" x14ac:dyDescent="0.25">
      <c r="C30" s="39" t="s">
        <v>25</v>
      </c>
      <c r="D30" s="85" t="s">
        <v>168</v>
      </c>
      <c r="E30" s="92">
        <v>3921.58</v>
      </c>
      <c r="F30" s="42">
        <v>2044</v>
      </c>
    </row>
    <row r="31" spans="1:6" s="32" customFormat="1" ht="15" customHeight="1" x14ac:dyDescent="0.25">
      <c r="C31" s="39" t="s">
        <v>26</v>
      </c>
      <c r="D31" s="85" t="s">
        <v>168</v>
      </c>
      <c r="E31" s="92">
        <v>21.529999999999998</v>
      </c>
      <c r="F31" s="42">
        <v>158</v>
      </c>
    </row>
    <row r="32" spans="1:6" s="32" customFormat="1" ht="15" customHeight="1" x14ac:dyDescent="0.25">
      <c r="C32" s="39" t="s">
        <v>27</v>
      </c>
      <c r="D32" s="85" t="s">
        <v>168</v>
      </c>
      <c r="E32" s="92">
        <v>390.84999999999997</v>
      </c>
      <c r="F32" s="42">
        <v>1408</v>
      </c>
    </row>
    <row r="33" spans="1:6" s="32" customFormat="1" ht="15" customHeight="1" x14ac:dyDescent="0.25">
      <c r="C33" s="39" t="s">
        <v>28</v>
      </c>
      <c r="D33" s="85" t="s">
        <v>168</v>
      </c>
      <c r="E33" s="92">
        <v>0</v>
      </c>
      <c r="F33" s="42">
        <v>6173</v>
      </c>
    </row>
    <row r="34" spans="1:6" s="32" customFormat="1" ht="15" customHeight="1" x14ac:dyDescent="0.25">
      <c r="C34" s="43" t="s">
        <v>29</v>
      </c>
      <c r="D34" s="86"/>
      <c r="E34" s="92">
        <f>SUM(E30:E33)</f>
        <v>4333.96</v>
      </c>
      <c r="F34" s="44">
        <f>SUM(F30:F33)</f>
        <v>9783</v>
      </c>
    </row>
    <row r="35" spans="1:6" s="32" customFormat="1" ht="15" customHeight="1" x14ac:dyDescent="0.25">
      <c r="C35" s="69"/>
      <c r="D35" s="87"/>
      <c r="E35" s="92"/>
      <c r="F35" s="44"/>
    </row>
    <row r="36" spans="1:6" s="32" customFormat="1" ht="15" customHeight="1" x14ac:dyDescent="0.25">
      <c r="A36" s="33"/>
      <c r="C36" s="69" t="s">
        <v>30</v>
      </c>
      <c r="D36" s="87"/>
      <c r="E36" s="92">
        <f>+E34+E22+E14+E28</f>
        <v>966924.18</v>
      </c>
      <c r="F36" s="44">
        <f>(0 + (((F14 + F22) + F28) + F34))</f>
        <v>881857</v>
      </c>
    </row>
    <row r="37" spans="1:6" s="32" customFormat="1" ht="9" customHeight="1" x14ac:dyDescent="0.3">
      <c r="C37" s="47"/>
      <c r="D37" s="88"/>
      <c r="E37" s="94"/>
      <c r="F37" s="50"/>
    </row>
    <row r="38" spans="1:6" s="32" customFormat="1" ht="15" customHeight="1" x14ac:dyDescent="0.25">
      <c r="C38" s="35" t="s">
        <v>31</v>
      </c>
      <c r="D38" s="89"/>
      <c r="E38" s="95"/>
      <c r="F38" s="52"/>
    </row>
    <row r="39" spans="1:6" s="32" customFormat="1" ht="15" customHeight="1" x14ac:dyDescent="0.25">
      <c r="A39" s="31"/>
      <c r="B39" s="31"/>
      <c r="C39" s="36" t="s">
        <v>7</v>
      </c>
      <c r="D39" s="84"/>
      <c r="E39" s="93"/>
      <c r="F39" s="46"/>
    </row>
    <row r="40" spans="1:6" s="32" customFormat="1" ht="15" customHeight="1" x14ac:dyDescent="0.25">
      <c r="C40" s="39" t="s">
        <v>32</v>
      </c>
      <c r="D40" s="91" t="s">
        <v>171</v>
      </c>
      <c r="E40" s="92">
        <v>-6.65</v>
      </c>
      <c r="F40" s="42">
        <v>10001</v>
      </c>
    </row>
    <row r="41" spans="1:6" s="32" customFormat="1" ht="15" customHeight="1" x14ac:dyDescent="0.25">
      <c r="C41" s="39" t="s">
        <v>33</v>
      </c>
      <c r="D41" s="91" t="s">
        <v>171</v>
      </c>
      <c r="E41" s="92">
        <v>782.3</v>
      </c>
      <c r="F41" s="42">
        <v>783</v>
      </c>
    </row>
    <row r="42" spans="1:6" s="32" customFormat="1" ht="15" customHeight="1" x14ac:dyDescent="0.25">
      <c r="C42" s="39" t="s">
        <v>161</v>
      </c>
      <c r="D42" s="91" t="s">
        <v>171</v>
      </c>
      <c r="E42" s="92">
        <v>412</v>
      </c>
      <c r="F42" s="42">
        <v>0</v>
      </c>
    </row>
    <row r="43" spans="1:6" s="32" customFormat="1" ht="15" customHeight="1" x14ac:dyDescent="0.25">
      <c r="C43" s="39" t="s">
        <v>34</v>
      </c>
      <c r="D43" s="39" t="s">
        <v>34</v>
      </c>
      <c r="E43" s="92">
        <v>45920</v>
      </c>
      <c r="F43" s="42">
        <v>26044</v>
      </c>
    </row>
    <row r="44" spans="1:6" s="32" customFormat="1" ht="15" customHeight="1" x14ac:dyDescent="0.25">
      <c r="C44" s="39" t="s">
        <v>35</v>
      </c>
      <c r="D44" s="39" t="s">
        <v>35</v>
      </c>
      <c r="E44" s="92">
        <v>16823</v>
      </c>
      <c r="F44" s="42">
        <v>5927</v>
      </c>
    </row>
    <row r="45" spans="1:6" s="32" customFormat="1" ht="15" customHeight="1" x14ac:dyDescent="0.25">
      <c r="C45" s="39" t="s">
        <v>36</v>
      </c>
      <c r="D45" s="39" t="s">
        <v>36</v>
      </c>
      <c r="E45" s="92">
        <v>18550</v>
      </c>
      <c r="F45" s="42">
        <v>0</v>
      </c>
    </row>
    <row r="46" spans="1:6" s="32" customFormat="1" ht="15" customHeight="1" x14ac:dyDescent="0.25">
      <c r="C46" s="39" t="s">
        <v>37</v>
      </c>
      <c r="D46" s="39" t="s">
        <v>37</v>
      </c>
      <c r="E46" s="92">
        <v>4391.1000000000004</v>
      </c>
      <c r="F46" s="42">
        <v>3670</v>
      </c>
    </row>
    <row r="47" spans="1:6" s="32" customFormat="1" ht="15" customHeight="1" x14ac:dyDescent="0.25">
      <c r="C47" s="39" t="s">
        <v>38</v>
      </c>
      <c r="D47" s="91" t="s">
        <v>171</v>
      </c>
      <c r="E47" s="92">
        <v>2677.15</v>
      </c>
      <c r="F47" s="42">
        <v>2545</v>
      </c>
    </row>
    <row r="48" spans="1:6" s="32" customFormat="1" ht="15" customHeight="1" x14ac:dyDescent="0.25">
      <c r="C48" s="39" t="s">
        <v>39</v>
      </c>
      <c r="D48" s="39" t="s">
        <v>39</v>
      </c>
      <c r="E48" s="92">
        <v>5114.5600000000004</v>
      </c>
      <c r="F48" s="42">
        <v>4109</v>
      </c>
    </row>
    <row r="49" spans="1:6" s="32" customFormat="1" ht="15" customHeight="1" x14ac:dyDescent="0.25">
      <c r="C49" s="39" t="s">
        <v>101</v>
      </c>
      <c r="D49" s="85"/>
      <c r="E49" s="92">
        <v>0</v>
      </c>
      <c r="F49" s="42">
        <v>0</v>
      </c>
    </row>
    <row r="50" spans="1:6" s="32" customFormat="1" ht="15" customHeight="1" x14ac:dyDescent="0.25">
      <c r="C50" s="39" t="s">
        <v>40</v>
      </c>
      <c r="D50" s="85"/>
      <c r="E50" s="92">
        <v>0</v>
      </c>
      <c r="F50" s="42">
        <v>0</v>
      </c>
    </row>
    <row r="51" spans="1:6" s="32" customFormat="1" ht="15" customHeight="1" x14ac:dyDescent="0.25">
      <c r="C51" s="43" t="s">
        <v>41</v>
      </c>
      <c r="D51" s="86"/>
      <c r="E51" s="92">
        <f>SUM(E40:E50)</f>
        <v>94663.459999999992</v>
      </c>
      <c r="F51" s="44">
        <f>SUM(F40:F50)</f>
        <v>53079</v>
      </c>
    </row>
    <row r="52" spans="1:6" s="32" customFormat="1" ht="15" customHeight="1" x14ac:dyDescent="0.25">
      <c r="A52" s="31"/>
      <c r="B52" s="31"/>
      <c r="C52" s="36" t="s">
        <v>42</v>
      </c>
      <c r="D52" s="84"/>
      <c r="E52" s="93"/>
      <c r="F52" s="46"/>
    </row>
    <row r="53" spans="1:6" s="32" customFormat="1" ht="15" customHeight="1" x14ac:dyDescent="0.25">
      <c r="C53" s="39" t="s">
        <v>43</v>
      </c>
      <c r="D53" s="39" t="s">
        <v>43</v>
      </c>
      <c r="E53" s="92">
        <v>3987.83</v>
      </c>
      <c r="F53" s="42">
        <v>1802</v>
      </c>
    </row>
    <row r="54" spans="1:6" s="32" customFormat="1" ht="15" customHeight="1" x14ac:dyDescent="0.25">
      <c r="C54" s="39" t="s">
        <v>145</v>
      </c>
      <c r="D54" s="39" t="s">
        <v>145</v>
      </c>
      <c r="E54" s="92">
        <v>27652.989999999998</v>
      </c>
      <c r="F54" s="42">
        <v>5265</v>
      </c>
    </row>
    <row r="55" spans="1:6" s="32" customFormat="1" ht="15" customHeight="1" x14ac:dyDescent="0.25">
      <c r="C55" s="39" t="s">
        <v>44</v>
      </c>
      <c r="D55" s="91" t="s">
        <v>171</v>
      </c>
      <c r="E55" s="92">
        <v>-627.49</v>
      </c>
      <c r="F55" s="42">
        <v>3649</v>
      </c>
    </row>
    <row r="56" spans="1:6" s="32" customFormat="1" ht="15" customHeight="1" x14ac:dyDescent="0.25">
      <c r="C56" s="39" t="s">
        <v>101</v>
      </c>
      <c r="D56" s="91" t="s">
        <v>171</v>
      </c>
      <c r="E56" s="92">
        <v>0</v>
      </c>
      <c r="F56" s="42">
        <v>1118</v>
      </c>
    </row>
    <row r="57" spans="1:6" s="32" customFormat="1" ht="15" customHeight="1" x14ac:dyDescent="0.25">
      <c r="C57" s="39" t="s">
        <v>159</v>
      </c>
      <c r="D57" s="91" t="s">
        <v>171</v>
      </c>
      <c r="E57" s="92">
        <v>876</v>
      </c>
      <c r="F57" s="42"/>
    </row>
    <row r="58" spans="1:6" s="32" customFormat="1" ht="15" customHeight="1" x14ac:dyDescent="0.25">
      <c r="C58" s="39" t="s">
        <v>46</v>
      </c>
      <c r="D58" s="91" t="s">
        <v>171</v>
      </c>
      <c r="E58" s="92">
        <v>2169.34</v>
      </c>
      <c r="F58" s="42">
        <v>4872</v>
      </c>
    </row>
    <row r="59" spans="1:6" s="32" customFormat="1" ht="15" customHeight="1" x14ac:dyDescent="0.25">
      <c r="C59" s="43" t="s">
        <v>47</v>
      </c>
      <c r="D59" s="86"/>
      <c r="E59" s="92">
        <f>SUM(E53:E58)</f>
        <v>34058.67</v>
      </c>
      <c r="F59" s="44">
        <f>SUM(F53:F58)</f>
        <v>16706</v>
      </c>
    </row>
    <row r="60" spans="1:6" s="32" customFormat="1" ht="25.5" customHeight="1" x14ac:dyDescent="0.25">
      <c r="A60" s="31"/>
      <c r="B60" s="31"/>
      <c r="C60" s="36" t="s">
        <v>48</v>
      </c>
      <c r="D60" s="84"/>
      <c r="E60" s="93"/>
      <c r="F60" s="46"/>
    </row>
    <row r="61" spans="1:6" s="32" customFormat="1" ht="15" customHeight="1" x14ac:dyDescent="0.25">
      <c r="C61" s="39" t="s">
        <v>49</v>
      </c>
      <c r="D61" s="85" t="s">
        <v>172</v>
      </c>
      <c r="E61" s="92">
        <v>146858</v>
      </c>
      <c r="F61" s="42">
        <v>0</v>
      </c>
    </row>
    <row r="62" spans="1:6" s="32" customFormat="1" ht="15" customHeight="1" x14ac:dyDescent="0.25">
      <c r="C62" s="39" t="s">
        <v>50</v>
      </c>
      <c r="D62" s="85" t="s">
        <v>172</v>
      </c>
      <c r="E62" s="92">
        <v>0</v>
      </c>
      <c r="F62" s="42">
        <v>50500</v>
      </c>
    </row>
    <row r="63" spans="1:6" s="32" customFormat="1" ht="15" customHeight="1" x14ac:dyDescent="0.25">
      <c r="C63" s="39" t="s">
        <v>51</v>
      </c>
      <c r="D63" s="85" t="s">
        <v>172</v>
      </c>
      <c r="E63" s="92">
        <v>199889</v>
      </c>
      <c r="F63" s="42">
        <v>131109</v>
      </c>
    </row>
    <row r="64" spans="1:6" s="32" customFormat="1" ht="15" customHeight="1" x14ac:dyDescent="0.25">
      <c r="C64" s="39" t="s">
        <v>45</v>
      </c>
      <c r="D64" s="85"/>
      <c r="E64" s="92">
        <v>0</v>
      </c>
      <c r="F64" s="42">
        <v>0</v>
      </c>
    </row>
    <row r="65" spans="1:6" s="32" customFormat="1" ht="15" customHeight="1" x14ac:dyDescent="0.25">
      <c r="C65" s="39" t="s">
        <v>52</v>
      </c>
      <c r="D65" s="85" t="s">
        <v>172</v>
      </c>
      <c r="E65" s="92">
        <v>54559.979999999996</v>
      </c>
      <c r="F65" s="42">
        <v>116042</v>
      </c>
    </row>
    <row r="66" spans="1:6" s="32" customFormat="1" ht="15" customHeight="1" x14ac:dyDescent="0.25">
      <c r="C66" s="43" t="s">
        <v>160</v>
      </c>
      <c r="D66" s="86"/>
      <c r="E66" s="92">
        <f>SUM(E61:E65)</f>
        <v>401306.98</v>
      </c>
      <c r="F66" s="44">
        <f>SUM(F61:F65)</f>
        <v>297651</v>
      </c>
    </row>
    <row r="67" spans="1:6" s="32" customFormat="1" ht="9" customHeight="1" x14ac:dyDescent="0.25">
      <c r="C67" s="69"/>
      <c r="D67" s="87"/>
      <c r="E67" s="92"/>
      <c r="F67" s="44"/>
    </row>
    <row r="68" spans="1:6" s="32" customFormat="1" ht="15" customHeight="1" x14ac:dyDescent="0.25">
      <c r="C68" s="69" t="s">
        <v>53</v>
      </c>
      <c r="D68" s="87"/>
      <c r="E68" s="92">
        <f t="shared" ref="E68:F68" si="0">+E66+E59+E51</f>
        <v>530029.11</v>
      </c>
      <c r="F68" s="44">
        <f t="shared" si="0"/>
        <v>367436</v>
      </c>
    </row>
    <row r="69" spans="1:6" s="32" customFormat="1" ht="8.15" customHeight="1" x14ac:dyDescent="0.3">
      <c r="C69" s="47"/>
      <c r="D69" s="88"/>
      <c r="E69" s="94"/>
      <c r="F69" s="50"/>
    </row>
    <row r="70" spans="1:6" s="32" customFormat="1" ht="15" customHeight="1" x14ac:dyDescent="0.25">
      <c r="C70" s="53" t="s">
        <v>54</v>
      </c>
      <c r="D70" s="90"/>
      <c r="E70" s="96">
        <f t="shared" ref="E70:F70" si="1">+E36-E68</f>
        <v>436895.07000000007</v>
      </c>
      <c r="F70" s="55">
        <f t="shared" si="1"/>
        <v>514421</v>
      </c>
    </row>
    <row r="71" spans="1:6" s="32" customFormat="1" ht="15" customHeight="1" x14ac:dyDescent="0.3">
      <c r="C71" s="47"/>
      <c r="D71" s="88"/>
      <c r="E71" s="94"/>
      <c r="F71" s="50"/>
    </row>
    <row r="72" spans="1:6" s="32" customFormat="1" ht="15" customHeight="1" x14ac:dyDescent="0.25">
      <c r="C72" s="36" t="s">
        <v>55</v>
      </c>
      <c r="D72" s="84"/>
      <c r="E72" s="93"/>
      <c r="F72" s="46"/>
    </row>
    <row r="73" spans="1:6" s="32" customFormat="1" ht="7" customHeight="1" x14ac:dyDescent="0.25">
      <c r="C73" s="36"/>
      <c r="D73" s="84"/>
      <c r="E73" s="93"/>
      <c r="F73" s="46"/>
    </row>
    <row r="74" spans="1:6" s="32" customFormat="1" ht="15" customHeight="1" x14ac:dyDescent="0.25">
      <c r="A74" s="31"/>
      <c r="B74" s="31"/>
      <c r="C74" s="36" t="s">
        <v>56</v>
      </c>
      <c r="D74" s="84"/>
      <c r="E74" s="93"/>
      <c r="F74" s="46"/>
    </row>
    <row r="75" spans="1:6" s="32" customFormat="1" ht="15" customHeight="1" x14ac:dyDescent="0.25">
      <c r="C75" s="39" t="s">
        <v>57</v>
      </c>
      <c r="D75" s="85" t="s">
        <v>81</v>
      </c>
      <c r="E75" s="92">
        <v>3168.67</v>
      </c>
      <c r="F75" s="42">
        <v>3574</v>
      </c>
    </row>
    <row r="76" spans="1:6" s="32" customFormat="1" ht="15" customHeight="1" x14ac:dyDescent="0.25">
      <c r="C76" s="39" t="s">
        <v>58</v>
      </c>
      <c r="D76" s="39" t="s">
        <v>58</v>
      </c>
      <c r="E76" s="92">
        <v>8003.09</v>
      </c>
      <c r="F76" s="42">
        <v>39</v>
      </c>
    </row>
    <row r="77" spans="1:6" s="32" customFormat="1" ht="15" customHeight="1" x14ac:dyDescent="0.25">
      <c r="C77" s="39" t="s">
        <v>59</v>
      </c>
      <c r="D77" s="39" t="s">
        <v>59</v>
      </c>
      <c r="E77" s="92">
        <v>17785.05</v>
      </c>
      <c r="F77" s="42">
        <v>17204</v>
      </c>
    </row>
    <row r="78" spans="1:6" s="32" customFormat="1" ht="15" customHeight="1" x14ac:dyDescent="0.25">
      <c r="C78" s="39" t="s">
        <v>60</v>
      </c>
      <c r="D78" s="91" t="s">
        <v>175</v>
      </c>
      <c r="E78" s="92">
        <v>2243.7200000000003</v>
      </c>
      <c r="F78" s="42">
        <v>1551</v>
      </c>
    </row>
    <row r="79" spans="1:6" s="32" customFormat="1" ht="15" customHeight="1" x14ac:dyDescent="0.25">
      <c r="C79" s="39" t="s">
        <v>61</v>
      </c>
      <c r="D79" s="39" t="s">
        <v>61</v>
      </c>
      <c r="E79" s="92">
        <v>22554.300000000003</v>
      </c>
      <c r="F79" s="42">
        <v>14913</v>
      </c>
    </row>
    <row r="80" spans="1:6" s="32" customFormat="1" ht="15" customHeight="1" x14ac:dyDescent="0.25">
      <c r="C80" s="39" t="s">
        <v>62</v>
      </c>
      <c r="D80" s="39" t="s">
        <v>62</v>
      </c>
      <c r="E80" s="92">
        <v>10039.779999999999</v>
      </c>
      <c r="F80" s="42">
        <v>11148</v>
      </c>
    </row>
    <row r="81" spans="1:6" s="32" customFormat="1" ht="15" customHeight="1" x14ac:dyDescent="0.25">
      <c r="C81" s="39" t="s">
        <v>63</v>
      </c>
      <c r="D81" s="39" t="s">
        <v>63</v>
      </c>
      <c r="E81" s="92">
        <v>4956.59</v>
      </c>
      <c r="F81" s="42">
        <v>23122</v>
      </c>
    </row>
    <row r="82" spans="1:6" s="32" customFormat="1" ht="15" customHeight="1" x14ac:dyDescent="0.25">
      <c r="C82" s="39" t="s">
        <v>64</v>
      </c>
      <c r="D82" s="39" t="s">
        <v>64</v>
      </c>
      <c r="E82" s="92">
        <v>5160</v>
      </c>
      <c r="F82" s="42">
        <v>5160</v>
      </c>
    </row>
    <row r="83" spans="1:6" s="32" customFormat="1" ht="15" customHeight="1" x14ac:dyDescent="0.25">
      <c r="C83" s="39" t="s">
        <v>65</v>
      </c>
      <c r="D83" s="91" t="s">
        <v>175</v>
      </c>
      <c r="E83" s="92">
        <v>1849.65</v>
      </c>
      <c r="F83" s="42">
        <v>2779</v>
      </c>
    </row>
    <row r="84" spans="1:6" s="32" customFormat="1" ht="15" customHeight="1" x14ac:dyDescent="0.25">
      <c r="C84" s="39" t="s">
        <v>66</v>
      </c>
      <c r="D84" s="39" t="s">
        <v>66</v>
      </c>
      <c r="E84" s="92">
        <v>2930.3100000000004</v>
      </c>
      <c r="F84" s="42">
        <v>2163</v>
      </c>
    </row>
    <row r="85" spans="1:6" s="32" customFormat="1" ht="15" customHeight="1" x14ac:dyDescent="0.25">
      <c r="C85" s="39" t="s">
        <v>67</v>
      </c>
      <c r="D85" s="39" t="s">
        <v>67</v>
      </c>
      <c r="E85" s="92">
        <v>5089.04</v>
      </c>
      <c r="F85" s="42">
        <v>5694</v>
      </c>
    </row>
    <row r="86" spans="1:6" s="32" customFormat="1" ht="15" customHeight="1" x14ac:dyDescent="0.25">
      <c r="C86" s="39" t="s">
        <v>102</v>
      </c>
      <c r="D86" s="91" t="s">
        <v>175</v>
      </c>
      <c r="E86" s="92">
        <v>0</v>
      </c>
      <c r="F86" s="42">
        <v>1535</v>
      </c>
    </row>
    <row r="87" spans="1:6" s="32" customFormat="1" ht="15" customHeight="1" x14ac:dyDescent="0.25">
      <c r="C87" s="39" t="s">
        <v>68</v>
      </c>
      <c r="D87" s="39" t="s">
        <v>68</v>
      </c>
      <c r="E87" s="92">
        <v>26005</v>
      </c>
      <c r="F87" s="42">
        <v>0</v>
      </c>
    </row>
    <row r="88" spans="1:6" s="32" customFormat="1" ht="15" customHeight="1" x14ac:dyDescent="0.25">
      <c r="C88" s="39" t="s">
        <v>69</v>
      </c>
      <c r="D88" s="39" t="s">
        <v>69</v>
      </c>
      <c r="E88" s="92">
        <v>6255.03</v>
      </c>
      <c r="F88" s="42">
        <v>10215</v>
      </c>
    </row>
    <row r="89" spans="1:6" s="32" customFormat="1" ht="15" customHeight="1" x14ac:dyDescent="0.25">
      <c r="C89" s="39" t="s">
        <v>70</v>
      </c>
      <c r="D89" s="85" t="s">
        <v>173</v>
      </c>
      <c r="E89" s="92">
        <v>6636.76</v>
      </c>
      <c r="F89" s="42">
        <v>2169</v>
      </c>
    </row>
    <row r="90" spans="1:6" s="32" customFormat="1" ht="15" customHeight="1" x14ac:dyDescent="0.25">
      <c r="C90" s="39" t="s">
        <v>71</v>
      </c>
      <c r="D90" s="85" t="s">
        <v>173</v>
      </c>
      <c r="E90" s="92">
        <v>786.76</v>
      </c>
      <c r="F90" s="42">
        <v>1412</v>
      </c>
    </row>
    <row r="91" spans="1:6" s="32" customFormat="1" ht="15" customHeight="1" x14ac:dyDescent="0.25">
      <c r="C91" s="39" t="s">
        <v>72</v>
      </c>
      <c r="D91" s="91" t="s">
        <v>175</v>
      </c>
      <c r="E91" s="92">
        <v>0</v>
      </c>
      <c r="F91" s="42">
        <v>735</v>
      </c>
    </row>
    <row r="92" spans="1:6" s="32" customFormat="1" ht="15" customHeight="1" x14ac:dyDescent="0.25">
      <c r="C92" s="43" t="s">
        <v>73</v>
      </c>
      <c r="D92" s="86"/>
      <c r="E92" s="92">
        <f>SUM(E75:E91)</f>
        <v>123463.74999999997</v>
      </c>
      <c r="F92" s="44">
        <f>SUM(F75:F91)</f>
        <v>103413</v>
      </c>
    </row>
    <row r="93" spans="1:6" s="32" customFormat="1" ht="15" customHeight="1" x14ac:dyDescent="0.25">
      <c r="C93" s="69"/>
      <c r="D93" s="87"/>
      <c r="E93" s="97"/>
      <c r="F93" s="74"/>
    </row>
    <row r="94" spans="1:6" s="32" customFormat="1" ht="15" customHeight="1" x14ac:dyDescent="0.25">
      <c r="A94" s="31"/>
      <c r="B94" s="31"/>
      <c r="C94" s="36" t="s">
        <v>74</v>
      </c>
      <c r="D94" s="84"/>
      <c r="E94" s="93"/>
      <c r="F94" s="46"/>
    </row>
    <row r="95" spans="1:6" s="32" customFormat="1" ht="15" customHeight="1" x14ac:dyDescent="0.25">
      <c r="C95" s="39" t="s">
        <v>75</v>
      </c>
      <c r="D95" s="85" t="s">
        <v>174</v>
      </c>
      <c r="E95" s="92">
        <v>1487.13</v>
      </c>
      <c r="F95" s="42">
        <v>1514</v>
      </c>
    </row>
    <row r="96" spans="1:6" s="32" customFormat="1" ht="15" customHeight="1" x14ac:dyDescent="0.25">
      <c r="C96" s="39" t="s">
        <v>76</v>
      </c>
      <c r="D96" s="85" t="s">
        <v>174</v>
      </c>
      <c r="E96" s="92">
        <v>4668.26</v>
      </c>
      <c r="F96" s="42">
        <v>5019</v>
      </c>
    </row>
    <row r="97" spans="1:6" s="32" customFormat="1" ht="15" customHeight="1" x14ac:dyDescent="0.25">
      <c r="C97" s="39" t="s">
        <v>77</v>
      </c>
      <c r="D97" s="85" t="s">
        <v>174</v>
      </c>
      <c r="E97" s="92">
        <v>31405.98</v>
      </c>
      <c r="F97" s="42">
        <v>30814</v>
      </c>
    </row>
    <row r="98" spans="1:6" s="32" customFormat="1" ht="15" customHeight="1" x14ac:dyDescent="0.25">
      <c r="C98" s="39" t="s">
        <v>78</v>
      </c>
      <c r="D98" s="85" t="s">
        <v>174</v>
      </c>
      <c r="E98" s="92">
        <v>736.63999999999953</v>
      </c>
      <c r="F98" s="42">
        <v>699</v>
      </c>
    </row>
    <row r="99" spans="1:6" s="32" customFormat="1" ht="15" customHeight="1" x14ac:dyDescent="0.25">
      <c r="C99" s="39" t="s">
        <v>79</v>
      </c>
      <c r="D99" s="85" t="s">
        <v>174</v>
      </c>
      <c r="E99" s="92">
        <v>7211.5300000000007</v>
      </c>
      <c r="F99" s="42">
        <v>8196</v>
      </c>
    </row>
    <row r="100" spans="1:6" s="32" customFormat="1" ht="15" customHeight="1" x14ac:dyDescent="0.25">
      <c r="C100" s="43" t="s">
        <v>80</v>
      </c>
      <c r="D100" s="86"/>
      <c r="E100" s="92">
        <f>SUM(E95:E99)</f>
        <v>45509.54</v>
      </c>
      <c r="F100" s="44">
        <f>SUM(F95:F99)</f>
        <v>46242</v>
      </c>
    </row>
    <row r="101" spans="1:6" s="32" customFormat="1" ht="15" customHeight="1" x14ac:dyDescent="0.25">
      <c r="C101" s="69"/>
      <c r="D101" s="87"/>
      <c r="E101" s="97"/>
      <c r="F101" s="74"/>
    </row>
    <row r="102" spans="1:6" s="32" customFormat="1" ht="15" customHeight="1" x14ac:dyDescent="0.25">
      <c r="A102" s="31"/>
      <c r="B102" s="31"/>
      <c r="C102" s="36" t="s">
        <v>81</v>
      </c>
      <c r="D102" s="84"/>
      <c r="E102" s="93"/>
      <c r="F102" s="46"/>
    </row>
    <row r="103" spans="1:6" s="32" customFormat="1" ht="15" customHeight="1" x14ac:dyDescent="0.25">
      <c r="C103" s="39" t="s">
        <v>82</v>
      </c>
      <c r="D103" s="85" t="s">
        <v>81</v>
      </c>
      <c r="E103" s="92">
        <v>8063.91</v>
      </c>
      <c r="F103" s="42">
        <v>12340</v>
      </c>
    </row>
    <row r="104" spans="1:6" s="32" customFormat="1" ht="15" customHeight="1" x14ac:dyDescent="0.25">
      <c r="C104" s="39" t="s">
        <v>83</v>
      </c>
      <c r="D104" s="85" t="s">
        <v>81</v>
      </c>
      <c r="E104" s="92">
        <v>7.2759576141834259E-12</v>
      </c>
      <c r="F104" s="42">
        <v>2929</v>
      </c>
    </row>
    <row r="105" spans="1:6" s="32" customFormat="1" ht="15" customHeight="1" x14ac:dyDescent="0.25">
      <c r="C105" s="39" t="s">
        <v>84</v>
      </c>
      <c r="D105" s="85" t="s">
        <v>81</v>
      </c>
      <c r="E105" s="92">
        <v>233.7</v>
      </c>
      <c r="F105" s="42">
        <v>20160</v>
      </c>
    </row>
    <row r="106" spans="1:6" s="32" customFormat="1" ht="15" customHeight="1" x14ac:dyDescent="0.25">
      <c r="C106" s="39" t="s">
        <v>85</v>
      </c>
      <c r="D106" s="85" t="s">
        <v>81</v>
      </c>
      <c r="E106" s="92">
        <v>2582.8000000000002</v>
      </c>
      <c r="F106" s="42">
        <v>2395</v>
      </c>
    </row>
    <row r="107" spans="1:6" s="32" customFormat="1" ht="15" customHeight="1" x14ac:dyDescent="0.25">
      <c r="C107" s="39" t="s">
        <v>94</v>
      </c>
      <c r="D107" s="85" t="s">
        <v>81</v>
      </c>
      <c r="E107" s="92">
        <v>78178.25</v>
      </c>
      <c r="F107" s="42">
        <v>0</v>
      </c>
    </row>
    <row r="108" spans="1:6" s="32" customFormat="1" ht="15" customHeight="1" x14ac:dyDescent="0.25">
      <c r="C108" s="39" t="s">
        <v>86</v>
      </c>
      <c r="D108" s="85" t="s">
        <v>81</v>
      </c>
      <c r="E108" s="92">
        <v>341190.81</v>
      </c>
      <c r="F108" s="42">
        <v>367474</v>
      </c>
    </row>
    <row r="109" spans="1:6" s="32" customFormat="1" ht="15" customHeight="1" x14ac:dyDescent="0.25">
      <c r="C109" s="43" t="s">
        <v>87</v>
      </c>
      <c r="D109" s="86"/>
      <c r="E109" s="92">
        <f>SUM(E103:E108)</f>
        <v>430249.47</v>
      </c>
      <c r="F109" s="44">
        <f>SUM(F103:F108)</f>
        <v>405298</v>
      </c>
    </row>
    <row r="110" spans="1:6" s="32" customFormat="1" ht="15" customHeight="1" x14ac:dyDescent="0.25">
      <c r="C110" s="69"/>
      <c r="D110" s="87"/>
      <c r="E110" s="97"/>
      <c r="F110" s="74"/>
    </row>
    <row r="111" spans="1:6" s="32" customFormat="1" ht="15" customHeight="1" x14ac:dyDescent="0.25">
      <c r="C111" s="69" t="s">
        <v>53</v>
      </c>
      <c r="D111" s="87"/>
      <c r="E111" s="97">
        <f t="shared" ref="E111:F111" si="2">+E109+E100+E92</f>
        <v>599222.75999999989</v>
      </c>
      <c r="F111" s="74">
        <f t="shared" si="2"/>
        <v>554953</v>
      </c>
    </row>
    <row r="112" spans="1:6" s="32" customFormat="1" ht="15" customHeight="1" x14ac:dyDescent="0.25">
      <c r="C112" s="69"/>
      <c r="D112" s="87"/>
      <c r="E112" s="97"/>
      <c r="F112" s="74"/>
    </row>
    <row r="113" spans="1:6" s="32" customFormat="1" ht="15" customHeight="1" x14ac:dyDescent="0.25">
      <c r="C113" s="69" t="s">
        <v>156</v>
      </c>
      <c r="D113" s="87"/>
      <c r="E113" s="97">
        <f t="shared" ref="E113:F113" si="3">+E70-E111</f>
        <v>-162327.68999999983</v>
      </c>
      <c r="F113" s="74">
        <f t="shared" si="3"/>
        <v>-40532</v>
      </c>
    </row>
    <row r="114" spans="1:6" s="32" customFormat="1" ht="14.5" customHeight="1" x14ac:dyDescent="0.25">
      <c r="C114" s="69"/>
      <c r="D114" s="87"/>
      <c r="E114" s="97"/>
      <c r="F114" s="74"/>
    </row>
    <row r="115" spans="1:6" s="32" customFormat="1" ht="15" customHeight="1" x14ac:dyDescent="0.25">
      <c r="A115" s="31"/>
      <c r="B115" s="31"/>
      <c r="C115" s="36" t="s">
        <v>88</v>
      </c>
      <c r="D115" s="84"/>
      <c r="E115" s="93"/>
      <c r="F115" s="46"/>
    </row>
    <row r="116" spans="1:6" s="32" customFormat="1" ht="15" customHeight="1" x14ac:dyDescent="0.25">
      <c r="C116" s="39" t="s">
        <v>89</v>
      </c>
      <c r="D116" s="85" t="s">
        <v>177</v>
      </c>
      <c r="E116" s="92">
        <v>-176987</v>
      </c>
      <c r="F116" s="42">
        <v>-226594</v>
      </c>
    </row>
    <row r="117" spans="1:6" s="32" customFormat="1" ht="15" customHeight="1" x14ac:dyDescent="0.25">
      <c r="C117" s="39" t="s">
        <v>90</v>
      </c>
      <c r="D117" s="85" t="s">
        <v>177</v>
      </c>
      <c r="E117" s="92">
        <v>75368</v>
      </c>
      <c r="F117" s="42">
        <v>79428</v>
      </c>
    </row>
    <row r="118" spans="1:6" s="32" customFormat="1" ht="15" customHeight="1" x14ac:dyDescent="0.25">
      <c r="C118" s="39" t="s">
        <v>91</v>
      </c>
      <c r="D118" s="85" t="s">
        <v>176</v>
      </c>
      <c r="E118" s="92">
        <v>10359.450000000001</v>
      </c>
      <c r="F118" s="42">
        <v>9763</v>
      </c>
    </row>
    <row r="119" spans="1:6" s="32" customFormat="1" ht="15" customHeight="1" x14ac:dyDescent="0.25">
      <c r="C119" s="39" t="s">
        <v>92</v>
      </c>
      <c r="D119" s="85" t="s">
        <v>176</v>
      </c>
      <c r="E119" s="92">
        <v>12301.5</v>
      </c>
      <c r="F119" s="42">
        <v>8269</v>
      </c>
    </row>
    <row r="120" spans="1:6" s="32" customFormat="1" ht="15" customHeight="1" x14ac:dyDescent="0.25">
      <c r="C120" s="39" t="s">
        <v>163</v>
      </c>
      <c r="D120" s="39" t="s">
        <v>163</v>
      </c>
      <c r="E120" s="92">
        <v>11062</v>
      </c>
      <c r="F120" s="42">
        <v>4090</v>
      </c>
    </row>
    <row r="121" spans="1:6" s="32" customFormat="1" ht="15" customHeight="1" x14ac:dyDescent="0.25">
      <c r="C121" s="43" t="s">
        <v>93</v>
      </c>
      <c r="D121" s="86"/>
      <c r="E121" s="92">
        <f t="shared" ref="E121:F121" si="4">SUM(E116:E120)</f>
        <v>-67896.05</v>
      </c>
      <c r="F121" s="44">
        <f t="shared" si="4"/>
        <v>-125044</v>
      </c>
    </row>
    <row r="122" spans="1:6" s="32" customFormat="1" ht="15" customHeight="1" x14ac:dyDescent="0.3">
      <c r="C122" s="47"/>
      <c r="D122" s="88"/>
      <c r="E122" s="94"/>
      <c r="F122" s="50"/>
    </row>
    <row r="123" spans="1:6" s="32" customFormat="1" ht="15" customHeight="1" x14ac:dyDescent="0.25">
      <c r="C123" s="53" t="s">
        <v>95</v>
      </c>
      <c r="D123" s="90"/>
      <c r="E123" s="96">
        <f t="shared" ref="E123:F123" si="5">+E113-E121</f>
        <v>-94431.639999999825</v>
      </c>
      <c r="F123" s="55">
        <f t="shared" si="5"/>
        <v>84512</v>
      </c>
    </row>
    <row r="124" spans="1:6" x14ac:dyDescent="0.3">
      <c r="D124" s="58"/>
      <c r="E124" s="59"/>
    </row>
  </sheetData>
  <pageMargins left="0.11811023622047245" right="0.11811023622047245" top="0.19685039370078741" bottom="0.15748031496062992" header="0.31496062992125984" footer="0.31496062992125984"/>
  <pageSetup paperSize="8" scale="63" orientation="portrait" r:id="rId1"/>
  <rowBreaks count="2" manualBreakCount="2">
    <brk id="37" min="2" max="18" man="1"/>
    <brk id="93" min="2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3"/>
  <sheetViews>
    <sheetView showGridLines="0" topLeftCell="B1" zoomScale="80" zoomScaleNormal="80" workbookViewId="0">
      <pane xSplit="2" ySplit="5" topLeftCell="G6" activePane="bottomRight" state="frozen"/>
      <selection activeCell="C20" sqref="C20"/>
      <selection pane="topRight" activeCell="C20" sqref="C20"/>
      <selection pane="bottomLeft" activeCell="C20" sqref="C20"/>
      <selection pane="bottomRight" activeCell="C20" sqref="C20"/>
    </sheetView>
  </sheetViews>
  <sheetFormatPr defaultRowHeight="13" x14ac:dyDescent="0.3"/>
  <cols>
    <col min="1" max="1" width="1" customWidth="1"/>
    <col min="2" max="2" width="2.81640625" customWidth="1"/>
    <col min="3" max="3" width="44.7265625" customWidth="1"/>
    <col min="4" max="15" width="11.81640625" customWidth="1"/>
    <col min="16" max="17" width="11.81640625" style="20" customWidth="1"/>
    <col min="18" max="19" width="11.81640625" customWidth="1"/>
  </cols>
  <sheetData>
    <row r="1" spans="1:19" ht="21" customHeight="1" x14ac:dyDescent="0.25">
      <c r="C1" s="56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25">
      <c r="C2" s="3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2"/>
      <c r="S2" s="2"/>
    </row>
    <row r="3" spans="1:19" ht="18" customHeight="1" x14ac:dyDescent="0.25">
      <c r="C3" s="3" t="s">
        <v>96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2"/>
      <c r="S3" s="2"/>
    </row>
    <row r="4" spans="1:19" ht="22.5" customHeight="1" x14ac:dyDescent="0.4">
      <c r="C4" s="77" t="s">
        <v>165</v>
      </c>
      <c r="D4" s="75" t="s">
        <v>157</v>
      </c>
      <c r="E4" s="75" t="s">
        <v>157</v>
      </c>
      <c r="F4" s="75" t="s">
        <v>157</v>
      </c>
      <c r="G4" s="75" t="s">
        <v>157</v>
      </c>
      <c r="H4" s="75" t="s">
        <v>157</v>
      </c>
      <c r="I4" s="75" t="s">
        <v>157</v>
      </c>
      <c r="J4" s="75" t="s">
        <v>157</v>
      </c>
      <c r="K4" s="75" t="s">
        <v>157</v>
      </c>
      <c r="L4" s="75" t="s">
        <v>157</v>
      </c>
      <c r="M4" s="75" t="s">
        <v>157</v>
      </c>
      <c r="N4" s="75" t="s">
        <v>157</v>
      </c>
      <c r="O4" s="75" t="s">
        <v>157</v>
      </c>
      <c r="P4" s="3"/>
      <c r="Q4" s="3"/>
      <c r="R4" s="2"/>
      <c r="S4" s="2"/>
    </row>
    <row r="5" spans="1:19" s="5" customFormat="1" ht="56.15" customHeight="1" x14ac:dyDescent="0.25">
      <c r="A5" s="4"/>
      <c r="B5" s="4"/>
      <c r="C5" s="34" t="s">
        <v>2</v>
      </c>
      <c r="D5" s="76">
        <v>43952</v>
      </c>
      <c r="E5" s="76">
        <v>43983</v>
      </c>
      <c r="F5" s="76">
        <v>44013</v>
      </c>
      <c r="G5" s="76">
        <v>44044</v>
      </c>
      <c r="H5" s="76">
        <v>44075</v>
      </c>
      <c r="I5" s="76">
        <v>44105</v>
      </c>
      <c r="J5" s="76">
        <v>44136</v>
      </c>
      <c r="K5" s="76">
        <v>44166</v>
      </c>
      <c r="L5" s="76">
        <v>44197</v>
      </c>
      <c r="M5" s="76">
        <v>44228</v>
      </c>
      <c r="N5" s="76">
        <v>44256</v>
      </c>
      <c r="O5" s="76">
        <v>44287</v>
      </c>
      <c r="P5" s="75" t="s">
        <v>164</v>
      </c>
      <c r="Q5" s="75" t="s">
        <v>158</v>
      </c>
      <c r="R5" s="75" t="s">
        <v>144</v>
      </c>
      <c r="S5" s="75" t="s">
        <v>97</v>
      </c>
    </row>
    <row r="6" spans="1:19" ht="13" customHeight="1" x14ac:dyDescent="0.25">
      <c r="C6" s="36" t="s">
        <v>3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8"/>
    </row>
    <row r="7" spans="1:19" s="32" customFormat="1" ht="15" customHeight="1" x14ac:dyDescent="0.25">
      <c r="A7" s="31"/>
      <c r="B7" s="31"/>
      <c r="C7" s="36" t="s">
        <v>4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8"/>
    </row>
    <row r="8" spans="1:19" s="32" customFormat="1" ht="15" customHeight="1" x14ac:dyDescent="0.25">
      <c r="C8" s="39" t="s">
        <v>5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45228.23</v>
      </c>
      <c r="K8" s="40">
        <v>-114</v>
      </c>
      <c r="L8" s="40">
        <v>0</v>
      </c>
      <c r="M8" s="40">
        <v>0</v>
      </c>
      <c r="N8" s="40">
        <v>0</v>
      </c>
      <c r="O8" s="40">
        <v>0</v>
      </c>
      <c r="P8" s="41">
        <f>SUM(D8:O8)</f>
        <v>45114.23</v>
      </c>
      <c r="Q8" s="41">
        <v>45114.23</v>
      </c>
      <c r="R8" s="40">
        <v>45000</v>
      </c>
      <c r="S8" s="42">
        <v>45362</v>
      </c>
    </row>
    <row r="9" spans="1:19" s="32" customFormat="1" ht="15" customHeight="1" x14ac:dyDescent="0.25">
      <c r="C9" s="39" t="s">
        <v>6</v>
      </c>
      <c r="D9" s="40">
        <v>1666.67</v>
      </c>
      <c r="E9" s="40">
        <v>1666.67</v>
      </c>
      <c r="F9" s="40">
        <v>1666.67</v>
      </c>
      <c r="G9" s="40">
        <v>1666.67</v>
      </c>
      <c r="H9" s="40">
        <v>1666.67</v>
      </c>
      <c r="I9" s="40">
        <v>1666.67</v>
      </c>
      <c r="J9" s="40">
        <v>-1666.67</v>
      </c>
      <c r="K9" s="40">
        <v>0</v>
      </c>
      <c r="L9" s="40">
        <v>0</v>
      </c>
      <c r="M9" s="40">
        <v>0</v>
      </c>
      <c r="N9" s="40">
        <v>0</v>
      </c>
      <c r="O9" s="40">
        <v>400</v>
      </c>
      <c r="P9" s="41">
        <f>SUM(D9:O9)</f>
        <v>8733.35</v>
      </c>
      <c r="Q9" s="41">
        <v>8333.35</v>
      </c>
      <c r="R9" s="40">
        <v>20000</v>
      </c>
      <c r="S9" s="42">
        <v>20000</v>
      </c>
    </row>
    <row r="10" spans="1:19" s="32" customFormat="1" ht="15" customHeight="1" x14ac:dyDescent="0.25">
      <c r="C10" s="39" t="s">
        <v>7</v>
      </c>
      <c r="D10" s="40">
        <v>591.29999999999995</v>
      </c>
      <c r="E10" s="40">
        <v>5165</v>
      </c>
      <c r="F10" s="40">
        <v>1047</v>
      </c>
      <c r="G10" s="40">
        <v>4114.33</v>
      </c>
      <c r="H10" s="40">
        <v>1702.6</v>
      </c>
      <c r="I10" s="40">
        <v>10909.51</v>
      </c>
      <c r="J10" s="40">
        <f>11177-2264</f>
        <v>8913</v>
      </c>
      <c r="K10" s="40">
        <v>5873</v>
      </c>
      <c r="L10" s="40">
        <v>2783</v>
      </c>
      <c r="M10" s="40">
        <v>8948</v>
      </c>
      <c r="N10" s="40">
        <v>5496</v>
      </c>
      <c r="O10" s="40">
        <v>6496</v>
      </c>
      <c r="P10" s="41">
        <f>SUM(D10:O10)</f>
        <v>62038.740000000005</v>
      </c>
      <c r="Q10" s="41">
        <v>59806.740000000005</v>
      </c>
      <c r="R10" s="40">
        <v>67500</v>
      </c>
      <c r="S10" s="42">
        <v>53048</v>
      </c>
    </row>
    <row r="11" spans="1:19" s="32" customFormat="1" ht="15" customHeight="1" x14ac:dyDescent="0.25">
      <c r="C11" s="39" t="s">
        <v>100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1">
        <v>0</v>
      </c>
      <c r="Q11" s="41">
        <v>0</v>
      </c>
      <c r="R11" s="40">
        <v>0</v>
      </c>
      <c r="S11" s="42">
        <v>7435</v>
      </c>
    </row>
    <row r="12" spans="1:19" s="32" customFormat="1" ht="15" customHeight="1" x14ac:dyDescent="0.25">
      <c r="C12" s="39" t="s">
        <v>8</v>
      </c>
      <c r="D12" s="40">
        <v>0</v>
      </c>
      <c r="E12" s="40">
        <v>0</v>
      </c>
      <c r="F12" s="40">
        <v>0</v>
      </c>
      <c r="G12" s="40">
        <v>0</v>
      </c>
      <c r="H12" s="40">
        <v>173.92</v>
      </c>
      <c r="I12" s="40">
        <v>3000.08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1">
        <f>SUM(D12:O12)</f>
        <v>3174</v>
      </c>
      <c r="Q12" s="41">
        <v>3174</v>
      </c>
      <c r="R12" s="40">
        <v>0</v>
      </c>
      <c r="S12" s="42">
        <v>3931</v>
      </c>
    </row>
    <row r="13" spans="1:19" s="32" customFormat="1" ht="15" customHeight="1" x14ac:dyDescent="0.25">
      <c r="C13" s="39" t="s">
        <v>9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1">
        <f>SUM(D13:O13)</f>
        <v>0</v>
      </c>
      <c r="Q13" s="41">
        <v>0</v>
      </c>
      <c r="R13" s="40">
        <v>2000</v>
      </c>
      <c r="S13" s="42">
        <v>0</v>
      </c>
    </row>
    <row r="14" spans="1:19" s="32" customFormat="1" ht="15" customHeight="1" x14ac:dyDescent="0.25">
      <c r="C14" s="39" t="s">
        <v>10</v>
      </c>
      <c r="D14" s="40">
        <v>0</v>
      </c>
      <c r="E14" s="40">
        <v>121.74</v>
      </c>
      <c r="F14" s="40">
        <v>0</v>
      </c>
      <c r="G14" s="40">
        <v>0</v>
      </c>
      <c r="H14" s="40">
        <v>-278.25</v>
      </c>
      <c r="I14" s="40">
        <v>250.43</v>
      </c>
      <c r="J14" s="40">
        <v>0</v>
      </c>
      <c r="K14" s="40">
        <v>176</v>
      </c>
      <c r="L14" s="40">
        <v>0</v>
      </c>
      <c r="M14" s="40">
        <v>0</v>
      </c>
      <c r="N14" s="40">
        <v>0</v>
      </c>
      <c r="O14" s="40">
        <v>0</v>
      </c>
      <c r="P14" s="41">
        <f>SUM(D14:O14)</f>
        <v>269.92</v>
      </c>
      <c r="Q14" s="41">
        <v>269.92</v>
      </c>
      <c r="R14" s="40">
        <v>3000</v>
      </c>
      <c r="S14" s="42">
        <v>835</v>
      </c>
    </row>
    <row r="15" spans="1:19" s="32" customFormat="1" ht="15" customHeight="1" x14ac:dyDescent="0.25">
      <c r="C15" s="43" t="s">
        <v>11</v>
      </c>
      <c r="D15" s="41">
        <f>SUM(D8:D14)</f>
        <v>2257.9700000000003</v>
      </c>
      <c r="E15" s="41">
        <f>SUM(E8:E14)</f>
        <v>6953.41</v>
      </c>
      <c r="F15" s="41">
        <f>SUM(F8:F14)</f>
        <v>2713.67</v>
      </c>
      <c r="G15" s="41">
        <f>SUM(G8:G14)</f>
        <v>5781</v>
      </c>
      <c r="H15" s="41">
        <f t="shared" ref="H15" si="0">SUM(H8:H14)</f>
        <v>3264.94</v>
      </c>
      <c r="I15" s="41">
        <f>SUM(I8:I14)</f>
        <v>15826.69</v>
      </c>
      <c r="J15" s="41">
        <f>SUM(J8:J14)</f>
        <v>52474.560000000005</v>
      </c>
      <c r="K15" s="41">
        <f t="shared" ref="K15:O15" si="1">SUM(K8:K14)</f>
        <v>5935</v>
      </c>
      <c r="L15" s="41">
        <f t="shared" si="1"/>
        <v>2783</v>
      </c>
      <c r="M15" s="41">
        <f t="shared" si="1"/>
        <v>8948</v>
      </c>
      <c r="N15" s="41">
        <f t="shared" si="1"/>
        <v>5496</v>
      </c>
      <c r="O15" s="41">
        <f t="shared" si="1"/>
        <v>6896</v>
      </c>
      <c r="P15" s="41">
        <f>SUM(P8:P14)</f>
        <v>119330.24000000001</v>
      </c>
      <c r="Q15" s="41">
        <v>116698.24000000001</v>
      </c>
      <c r="R15" s="41">
        <f>SUM(R8:R14)</f>
        <v>137500</v>
      </c>
      <c r="S15" s="44">
        <f>SUM(S8:S14)</f>
        <v>130611</v>
      </c>
    </row>
    <row r="16" spans="1:19" s="32" customFormat="1" ht="15" customHeight="1" x14ac:dyDescent="0.25">
      <c r="A16" s="31"/>
      <c r="B16" s="31"/>
      <c r="C16" s="36" t="s">
        <v>12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6"/>
    </row>
    <row r="17" spans="1:19" s="32" customFormat="1" ht="15" customHeight="1" x14ac:dyDescent="0.25">
      <c r="C17" s="39" t="s">
        <v>13</v>
      </c>
      <c r="D17" s="40">
        <v>25417</v>
      </c>
      <c r="E17" s="40">
        <v>25417</v>
      </c>
      <c r="F17" s="40">
        <v>25417</v>
      </c>
      <c r="G17" s="40">
        <v>25417</v>
      </c>
      <c r="H17" s="40">
        <v>25417</v>
      </c>
      <c r="I17" s="40">
        <v>18988</v>
      </c>
      <c r="J17" s="40">
        <v>18988</v>
      </c>
      <c r="K17" s="40">
        <v>18988</v>
      </c>
      <c r="L17" s="40">
        <v>18988</v>
      </c>
      <c r="M17" s="40">
        <v>18988</v>
      </c>
      <c r="N17" s="40">
        <v>18988</v>
      </c>
      <c r="O17" s="40">
        <v>18988</v>
      </c>
      <c r="P17" s="41">
        <f t="shared" ref="P17:P22" si="2">SUM(D17:O17)</f>
        <v>260001</v>
      </c>
      <c r="Q17" s="41">
        <v>260013</v>
      </c>
      <c r="R17" s="40">
        <v>305000</v>
      </c>
      <c r="S17" s="42">
        <v>400000</v>
      </c>
    </row>
    <row r="18" spans="1:19" s="32" customFormat="1" ht="15" customHeight="1" x14ac:dyDescent="0.25">
      <c r="C18" s="39" t="s">
        <v>14</v>
      </c>
      <c r="D18" s="40">
        <v>0</v>
      </c>
      <c r="E18" s="40">
        <v>0</v>
      </c>
      <c r="F18" s="40">
        <v>0</v>
      </c>
      <c r="G18" s="40">
        <v>25000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si="2"/>
        <v>25000</v>
      </c>
      <c r="Q18" s="41">
        <v>25000</v>
      </c>
      <c r="R18" s="40">
        <v>50000</v>
      </c>
      <c r="S18" s="42">
        <v>40031</v>
      </c>
    </row>
    <row r="19" spans="1:19" s="32" customFormat="1" ht="15" customHeight="1" x14ac:dyDescent="0.25">
      <c r="C19" s="39" t="s">
        <v>15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1">
        <f t="shared" si="2"/>
        <v>0</v>
      </c>
      <c r="Q19" s="41">
        <v>0</v>
      </c>
      <c r="R19" s="40">
        <v>40000</v>
      </c>
      <c r="S19" s="42">
        <v>0</v>
      </c>
    </row>
    <row r="20" spans="1:19" s="32" customFormat="1" ht="15" customHeight="1" x14ac:dyDescent="0.25">
      <c r="C20" s="39" t="s">
        <v>16</v>
      </c>
      <c r="D20" s="40">
        <v>0</v>
      </c>
      <c r="E20" s="40">
        <v>0</v>
      </c>
      <c r="F20" s="40">
        <v>0</v>
      </c>
      <c r="G20" s="40">
        <v>0</v>
      </c>
      <c r="H20" s="40">
        <v>40000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f>28800+30000</f>
        <v>58800</v>
      </c>
      <c r="P20" s="41">
        <f t="shared" si="2"/>
        <v>98800</v>
      </c>
      <c r="Q20" s="41">
        <v>98800</v>
      </c>
      <c r="R20" s="40">
        <v>0</v>
      </c>
      <c r="S20" s="42">
        <v>0</v>
      </c>
    </row>
    <row r="21" spans="1:19" s="32" customFormat="1" ht="15" customHeight="1" x14ac:dyDescent="0.25">
      <c r="C21" s="39" t="s">
        <v>17</v>
      </c>
      <c r="D21" s="40">
        <v>18259.2</v>
      </c>
      <c r="E21" s="40">
        <v>15330.2</v>
      </c>
      <c r="F21" s="40">
        <v>15330.2</v>
      </c>
      <c r="G21" s="40">
        <v>0</v>
      </c>
      <c r="H21" s="40">
        <v>9015.4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1">
        <f t="shared" si="2"/>
        <v>57935.000000000007</v>
      </c>
      <c r="Q21" s="41">
        <v>57935.000000000007</v>
      </c>
      <c r="R21" s="40">
        <v>0</v>
      </c>
      <c r="S21" s="42">
        <v>2929</v>
      </c>
    </row>
    <row r="22" spans="1:19" s="32" customFormat="1" ht="15" customHeight="1" x14ac:dyDescent="0.25">
      <c r="C22" s="39" t="s">
        <v>99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217</v>
      </c>
      <c r="P22" s="41">
        <f t="shared" si="2"/>
        <v>217</v>
      </c>
      <c r="Q22" s="41">
        <v>0</v>
      </c>
      <c r="R22" s="40">
        <v>0</v>
      </c>
      <c r="S22" s="42">
        <f>348+504</f>
        <v>852</v>
      </c>
    </row>
    <row r="23" spans="1:19" s="32" customFormat="1" ht="15" customHeight="1" x14ac:dyDescent="0.25">
      <c r="C23" s="43" t="s">
        <v>18</v>
      </c>
      <c r="D23" s="41">
        <f t="shared" ref="D23:O23" si="3">SUM(D17:D22)</f>
        <v>43676.2</v>
      </c>
      <c r="E23" s="41">
        <f t="shared" si="3"/>
        <v>40747.199999999997</v>
      </c>
      <c r="F23" s="41">
        <f t="shared" si="3"/>
        <v>40747.199999999997</v>
      </c>
      <c r="G23" s="41">
        <f t="shared" si="3"/>
        <v>50417</v>
      </c>
      <c r="H23" s="41">
        <f t="shared" si="3"/>
        <v>74432.399999999994</v>
      </c>
      <c r="I23" s="41">
        <f t="shared" si="3"/>
        <v>18988</v>
      </c>
      <c r="J23" s="41">
        <f t="shared" si="3"/>
        <v>18988</v>
      </c>
      <c r="K23" s="41">
        <f t="shared" si="3"/>
        <v>18988</v>
      </c>
      <c r="L23" s="41">
        <f t="shared" si="3"/>
        <v>18988</v>
      </c>
      <c r="M23" s="41">
        <f t="shared" si="3"/>
        <v>18988</v>
      </c>
      <c r="N23" s="41">
        <f t="shared" si="3"/>
        <v>18988</v>
      </c>
      <c r="O23" s="41">
        <f t="shared" si="3"/>
        <v>78005</v>
      </c>
      <c r="P23" s="41">
        <f>SUM(P17:P22)</f>
        <v>441953</v>
      </c>
      <c r="Q23" s="41">
        <v>441748</v>
      </c>
      <c r="R23" s="41">
        <f>SUM(R17:R22)</f>
        <v>395000</v>
      </c>
      <c r="S23" s="44">
        <f>SUM(S17:S22)</f>
        <v>443812</v>
      </c>
    </row>
    <row r="24" spans="1:19" s="32" customFormat="1" ht="15" customHeight="1" x14ac:dyDescent="0.25">
      <c r="A24" s="31"/>
      <c r="B24" s="31"/>
      <c r="C24" s="36" t="s">
        <v>19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</row>
    <row r="25" spans="1:19" s="32" customFormat="1" ht="15" customHeight="1" x14ac:dyDescent="0.25">
      <c r="C25" s="39" t="s">
        <v>20</v>
      </c>
      <c r="D25" s="40">
        <v>7444.62</v>
      </c>
      <c r="E25" s="40">
        <v>24196.92</v>
      </c>
      <c r="F25" s="40">
        <v>0</v>
      </c>
      <c r="G25" s="40">
        <v>0</v>
      </c>
      <c r="H25" s="40">
        <v>-12755.4</v>
      </c>
      <c r="I25" s="40">
        <v>8393.84</v>
      </c>
      <c r="J25" s="40">
        <v>4197</v>
      </c>
      <c r="K25" s="40">
        <v>4197</v>
      </c>
      <c r="L25" s="40">
        <v>4197</v>
      </c>
      <c r="M25" s="40">
        <v>4197</v>
      </c>
      <c r="N25" s="40">
        <v>6295</v>
      </c>
      <c r="O25" s="40">
        <v>4197</v>
      </c>
      <c r="P25" s="41">
        <f>SUM(D25:O25)</f>
        <v>54559.979999999996</v>
      </c>
      <c r="Q25" s="41">
        <v>54562.979999999996</v>
      </c>
      <c r="R25" s="40">
        <v>40000</v>
      </c>
      <c r="S25" s="42">
        <v>0</v>
      </c>
    </row>
    <row r="26" spans="1:19" s="32" customFormat="1" ht="15" customHeight="1" x14ac:dyDescent="0.25">
      <c r="C26" s="39" t="s">
        <v>21</v>
      </c>
      <c r="D26" s="40">
        <v>0</v>
      </c>
      <c r="E26" s="40">
        <v>0</v>
      </c>
      <c r="F26" s="40">
        <v>10025</v>
      </c>
      <c r="G26" s="40">
        <v>0</v>
      </c>
      <c r="H26" s="40">
        <v>110975</v>
      </c>
      <c r="I26" s="40">
        <v>0</v>
      </c>
      <c r="J26" s="40">
        <v>29500</v>
      </c>
      <c r="K26" s="40">
        <v>85919</v>
      </c>
      <c r="L26" s="40">
        <f>+L137+L142</f>
        <v>21300</v>
      </c>
      <c r="M26" s="40">
        <v>46528</v>
      </c>
      <c r="N26" s="40">
        <v>0</v>
      </c>
      <c r="O26" s="40">
        <v>42500</v>
      </c>
      <c r="P26" s="41">
        <f>SUM(D26:O26)</f>
        <v>346747</v>
      </c>
      <c r="Q26" s="41">
        <v>304247</v>
      </c>
      <c r="R26" s="40">
        <v>530000</v>
      </c>
      <c r="S26" s="42">
        <v>297651</v>
      </c>
    </row>
    <row r="27" spans="1:19" s="32" customFormat="1" ht="15" customHeight="1" x14ac:dyDescent="0.25">
      <c r="C27" s="39" t="s">
        <v>98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>SUM(D27:O27)</f>
        <v>0</v>
      </c>
      <c r="Q27" s="41">
        <v>0</v>
      </c>
      <c r="R27" s="40">
        <v>200000</v>
      </c>
      <c r="S27" s="42">
        <v>0</v>
      </c>
    </row>
    <row r="28" spans="1:19" s="32" customFormat="1" ht="15" customHeight="1" x14ac:dyDescent="0.25">
      <c r="C28" s="39" t="s">
        <v>22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1">
        <f>SUM(D28:O28)</f>
        <v>0</v>
      </c>
      <c r="Q28" s="41">
        <v>0</v>
      </c>
      <c r="R28" s="40">
        <v>100000</v>
      </c>
      <c r="S28" s="42">
        <v>0</v>
      </c>
    </row>
    <row r="29" spans="1:19" s="32" customFormat="1" ht="15" customHeight="1" x14ac:dyDescent="0.25">
      <c r="C29" s="43" t="s">
        <v>23</v>
      </c>
      <c r="D29" s="41">
        <f>SUM(D25:D28)</f>
        <v>7444.62</v>
      </c>
      <c r="E29" s="41">
        <f>SUM(E25:E28)</f>
        <v>24196.92</v>
      </c>
      <c r="F29" s="41">
        <f>SUM(F25:F28)</f>
        <v>10025</v>
      </c>
      <c r="G29" s="41">
        <f>SUM(G25:G28)</f>
        <v>0</v>
      </c>
      <c r="H29" s="41">
        <f t="shared" ref="H29" si="4">SUM(H25:H28)</f>
        <v>98219.6</v>
      </c>
      <c r="I29" s="41">
        <f>SUM(I25:I28)</f>
        <v>8393.84</v>
      </c>
      <c r="J29" s="41">
        <f>SUM(J25:J28)</f>
        <v>33697</v>
      </c>
      <c r="K29" s="41">
        <f t="shared" ref="K29:O29" si="5">SUM(K25:K28)</f>
        <v>90116</v>
      </c>
      <c r="L29" s="41">
        <f t="shared" si="5"/>
        <v>25497</v>
      </c>
      <c r="M29" s="41">
        <f t="shared" si="5"/>
        <v>50725</v>
      </c>
      <c r="N29" s="41">
        <f t="shared" si="5"/>
        <v>6295</v>
      </c>
      <c r="O29" s="41">
        <f t="shared" si="5"/>
        <v>46697</v>
      </c>
      <c r="P29" s="41">
        <f>SUM(P25:P28)</f>
        <v>401306.98</v>
      </c>
      <c r="Q29" s="41">
        <v>358809.98</v>
      </c>
      <c r="R29" s="41">
        <f>SUM(R25:R28)</f>
        <v>870000</v>
      </c>
      <c r="S29" s="44">
        <f>SUM(S25:S28)</f>
        <v>297651</v>
      </c>
    </row>
    <row r="30" spans="1:19" s="32" customFormat="1" ht="15" customHeight="1" x14ac:dyDescent="0.25">
      <c r="A30" s="31"/>
      <c r="B30" s="31"/>
      <c r="C30" s="36" t="s">
        <v>24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</row>
    <row r="31" spans="1:19" s="32" customFormat="1" ht="15" customHeight="1" x14ac:dyDescent="0.25">
      <c r="C31" s="39" t="s">
        <v>25</v>
      </c>
      <c r="D31" s="40">
        <v>793.52</v>
      </c>
      <c r="E31" s="40">
        <v>1213.04</v>
      </c>
      <c r="F31" s="40">
        <v>0</v>
      </c>
      <c r="G31" s="40">
        <v>530.29999999999995</v>
      </c>
      <c r="H31" s="40">
        <v>280.72000000000003</v>
      </c>
      <c r="I31" s="40">
        <v>0</v>
      </c>
      <c r="J31" s="40">
        <v>0</v>
      </c>
      <c r="K31" s="40">
        <v>0</v>
      </c>
      <c r="L31" s="40">
        <v>798</v>
      </c>
      <c r="M31" s="40">
        <v>306</v>
      </c>
      <c r="N31" s="40">
        <v>0</v>
      </c>
      <c r="O31" s="40">
        <v>0</v>
      </c>
      <c r="P31" s="41">
        <f>SUM(D31:O31)</f>
        <v>3921.58</v>
      </c>
      <c r="Q31" s="41">
        <v>3921.58</v>
      </c>
      <c r="R31" s="40">
        <v>0</v>
      </c>
      <c r="S31" s="42">
        <v>2044</v>
      </c>
    </row>
    <row r="32" spans="1:19" s="32" customFormat="1" ht="15" customHeight="1" x14ac:dyDescent="0.25">
      <c r="C32" s="39" t="s">
        <v>26</v>
      </c>
      <c r="D32" s="40">
        <v>4.74</v>
      </c>
      <c r="E32" s="40">
        <v>1.1000000000000001</v>
      </c>
      <c r="F32" s="40">
        <v>4.47</v>
      </c>
      <c r="G32" s="40">
        <v>-2.56</v>
      </c>
      <c r="H32" s="40">
        <v>13.78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1">
        <f>SUM(D32:O32)</f>
        <v>21.529999999999998</v>
      </c>
      <c r="Q32" s="41">
        <v>21.529999999999998</v>
      </c>
      <c r="R32" s="40">
        <v>0</v>
      </c>
      <c r="S32" s="42">
        <v>158</v>
      </c>
    </row>
    <row r="33" spans="1:19" s="32" customFormat="1" ht="15" customHeight="1" x14ac:dyDescent="0.25">
      <c r="C33" s="39" t="s">
        <v>27</v>
      </c>
      <c r="D33" s="40">
        <v>98.17</v>
      </c>
      <c r="E33" s="40">
        <v>79.27</v>
      </c>
      <c r="F33" s="40">
        <v>65.599999999999994</v>
      </c>
      <c r="G33" s="40">
        <v>49.24</v>
      </c>
      <c r="H33" s="40">
        <v>47.68</v>
      </c>
      <c r="I33" s="40">
        <v>49.3</v>
      </c>
      <c r="J33" s="40">
        <v>1.59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1">
        <f>SUM(D33:O33)</f>
        <v>390.84999999999997</v>
      </c>
      <c r="Q33" s="41">
        <v>390.84999999999997</v>
      </c>
      <c r="R33" s="40">
        <v>0</v>
      </c>
      <c r="S33" s="42">
        <v>1408</v>
      </c>
    </row>
    <row r="34" spans="1:19" s="32" customFormat="1" ht="15" customHeight="1" x14ac:dyDescent="0.25">
      <c r="C34" s="39" t="s">
        <v>28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1">
        <f>SUM(D34:O34)</f>
        <v>0</v>
      </c>
      <c r="Q34" s="41">
        <v>0</v>
      </c>
      <c r="R34" s="40">
        <v>15000</v>
      </c>
      <c r="S34" s="42">
        <v>6173</v>
      </c>
    </row>
    <row r="35" spans="1:19" s="32" customFormat="1" ht="15" customHeight="1" x14ac:dyDescent="0.25">
      <c r="C35" s="43" t="s">
        <v>29</v>
      </c>
      <c r="D35" s="41">
        <f>SUM(D31:D34)</f>
        <v>896.43</v>
      </c>
      <c r="E35" s="41">
        <f>SUM(E31:E34)</f>
        <v>1293.4099999999999</v>
      </c>
      <c r="F35" s="41">
        <f>SUM(F31:F34)</f>
        <v>70.069999999999993</v>
      </c>
      <c r="G35" s="41">
        <f>SUM(G31:G34)</f>
        <v>576.98</v>
      </c>
      <c r="H35" s="41">
        <f t="shared" ref="H35" si="6">SUM(H31:H34)</f>
        <v>342.18</v>
      </c>
      <c r="I35" s="41">
        <f>SUM(I31:I34)</f>
        <v>49.3</v>
      </c>
      <c r="J35" s="41">
        <f>SUM(J31:J34)</f>
        <v>1.59</v>
      </c>
      <c r="K35" s="41">
        <f t="shared" ref="K35:O35" si="7">SUM(K31:K34)</f>
        <v>0</v>
      </c>
      <c r="L35" s="41">
        <f t="shared" si="7"/>
        <v>798</v>
      </c>
      <c r="M35" s="41">
        <f t="shared" si="7"/>
        <v>306</v>
      </c>
      <c r="N35" s="41">
        <f t="shared" si="7"/>
        <v>0</v>
      </c>
      <c r="O35" s="41">
        <f t="shared" si="7"/>
        <v>0</v>
      </c>
      <c r="P35" s="41">
        <f>SUM(P31:P34)</f>
        <v>4333.96</v>
      </c>
      <c r="Q35" s="41">
        <v>4333.96</v>
      </c>
      <c r="R35" s="41">
        <f>SUM(R31:R34)</f>
        <v>15000</v>
      </c>
      <c r="S35" s="44">
        <f>SUM(S31:S34)</f>
        <v>9783</v>
      </c>
    </row>
    <row r="36" spans="1:19" s="32" customFormat="1" ht="15" customHeight="1" x14ac:dyDescent="0.25">
      <c r="C36" s="69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4"/>
    </row>
    <row r="37" spans="1:19" s="32" customFormat="1" ht="15" customHeight="1" x14ac:dyDescent="0.25">
      <c r="A37" s="33"/>
      <c r="C37" s="69" t="s">
        <v>30</v>
      </c>
      <c r="D37" s="41">
        <f>(0 + (((D15 + D23) + D29) + D35))</f>
        <v>54275.22</v>
      </c>
      <c r="E37" s="41">
        <f>(0 + (((E15 + E23) + E29) + E35))</f>
        <v>73190.94</v>
      </c>
      <c r="F37" s="41">
        <f>(0 + (((F15 + F23) + F29) + F35))</f>
        <v>53555.939999999995</v>
      </c>
      <c r="G37" s="41">
        <f>(0 + (((G15 + G23) + G29) + G35))</f>
        <v>56774.98</v>
      </c>
      <c r="H37" s="41">
        <f t="shared" ref="H37" si="8">(0 + (((H15 + H23) + H29) + H35))</f>
        <v>176259.12</v>
      </c>
      <c r="I37" s="41">
        <f>(0 + (((I15 + I23) + I29) + I35))</f>
        <v>43257.83</v>
      </c>
      <c r="J37" s="41">
        <f>(0 + (((J15 + J23) + J29) + J35))</f>
        <v>105161.15</v>
      </c>
      <c r="K37" s="41">
        <f t="shared" ref="K37:O37" si="9">(0 + (((K15 + K23) + K29) + K35))</f>
        <v>115039</v>
      </c>
      <c r="L37" s="41">
        <f t="shared" si="9"/>
        <v>48066</v>
      </c>
      <c r="M37" s="41">
        <f t="shared" si="9"/>
        <v>78967</v>
      </c>
      <c r="N37" s="41">
        <f t="shared" si="9"/>
        <v>30779</v>
      </c>
      <c r="O37" s="41">
        <f t="shared" si="9"/>
        <v>131598</v>
      </c>
      <c r="P37" s="41">
        <f>+P35+P23+P15+P29</f>
        <v>966924.18</v>
      </c>
      <c r="Q37" s="41">
        <v>921590.18</v>
      </c>
      <c r="R37" s="41">
        <f>(0 + (((R15 + R23) + R29) + R35))</f>
        <v>1417500</v>
      </c>
      <c r="S37" s="44">
        <f>(0 + (((S15 + S23) + S29) + S35))</f>
        <v>881857</v>
      </c>
    </row>
    <row r="38" spans="1:19" s="32" customFormat="1" ht="9" customHeight="1" x14ac:dyDescent="0.3"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  <c r="Q38" s="49"/>
      <c r="R38" s="48"/>
      <c r="S38" s="50"/>
    </row>
    <row r="39" spans="1:19" s="32" customFormat="1" ht="15" customHeight="1" x14ac:dyDescent="0.25">
      <c r="C39" s="35" t="s">
        <v>31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2"/>
    </row>
    <row r="40" spans="1:19" s="32" customFormat="1" ht="15" customHeight="1" x14ac:dyDescent="0.25">
      <c r="A40" s="31"/>
      <c r="B40" s="31"/>
      <c r="C40" s="36" t="s">
        <v>7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</row>
    <row r="41" spans="1:19" s="32" customFormat="1" ht="15" customHeight="1" x14ac:dyDescent="0.25">
      <c r="C41" s="39" t="s">
        <v>32</v>
      </c>
      <c r="D41" s="40">
        <v>0</v>
      </c>
      <c r="E41" s="40">
        <v>0</v>
      </c>
      <c r="F41" s="40">
        <v>0</v>
      </c>
      <c r="G41" s="40">
        <v>-6.65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1">
        <f t="shared" ref="P41:P51" si="10">SUM(D41:O41)</f>
        <v>-6.65</v>
      </c>
      <c r="Q41" s="41">
        <v>-6.65</v>
      </c>
      <c r="R41" s="40">
        <v>0</v>
      </c>
      <c r="S41" s="42">
        <v>10001</v>
      </c>
    </row>
    <row r="42" spans="1:19" s="32" customFormat="1" ht="15" customHeight="1" x14ac:dyDescent="0.25">
      <c r="C42" s="39" t="s">
        <v>33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391.3</v>
      </c>
      <c r="K42" s="40">
        <v>0</v>
      </c>
      <c r="L42" s="40">
        <v>391</v>
      </c>
      <c r="M42" s="40">
        <v>0</v>
      </c>
      <c r="N42" s="40">
        <v>0</v>
      </c>
      <c r="O42" s="40">
        <v>0</v>
      </c>
      <c r="P42" s="41">
        <f t="shared" si="10"/>
        <v>782.3</v>
      </c>
      <c r="Q42" s="41">
        <v>782.3</v>
      </c>
      <c r="R42" s="40">
        <v>0</v>
      </c>
      <c r="S42" s="42">
        <v>783</v>
      </c>
    </row>
    <row r="43" spans="1:19" s="32" customFormat="1" ht="15" customHeight="1" x14ac:dyDescent="0.25">
      <c r="C43" s="39" t="s">
        <v>161</v>
      </c>
      <c r="D43" s="40"/>
      <c r="E43" s="40"/>
      <c r="F43" s="40"/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73</v>
      </c>
      <c r="N43" s="40">
        <v>186</v>
      </c>
      <c r="O43" s="40">
        <v>153</v>
      </c>
      <c r="P43" s="41">
        <f t="shared" si="10"/>
        <v>412</v>
      </c>
      <c r="Q43" s="41">
        <v>409</v>
      </c>
      <c r="R43" s="40">
        <v>0</v>
      </c>
      <c r="S43" s="42">
        <v>0</v>
      </c>
    </row>
    <row r="44" spans="1:19" s="32" customFormat="1" ht="15" customHeight="1" x14ac:dyDescent="0.25">
      <c r="C44" s="39" t="s">
        <v>34</v>
      </c>
      <c r="D44" s="40">
        <v>0</v>
      </c>
      <c r="E44" s="40">
        <v>1350</v>
      </c>
      <c r="F44" s="40">
        <v>9380</v>
      </c>
      <c r="G44" s="40">
        <v>3500</v>
      </c>
      <c r="H44" s="40">
        <v>80</v>
      </c>
      <c r="I44" s="40">
        <v>0</v>
      </c>
      <c r="J44" s="40">
        <v>2600</v>
      </c>
      <c r="K44" s="40">
        <v>2025</v>
      </c>
      <c r="L44" s="40">
        <v>4360</v>
      </c>
      <c r="M44" s="40">
        <v>0</v>
      </c>
      <c r="N44" s="40">
        <v>5450</v>
      </c>
      <c r="O44" s="40">
        <f>7775+9400</f>
        <v>17175</v>
      </c>
      <c r="P44" s="41">
        <f t="shared" si="10"/>
        <v>45920</v>
      </c>
      <c r="Q44" s="41">
        <v>29545</v>
      </c>
      <c r="R44" s="40">
        <v>55050</v>
      </c>
      <c r="S44" s="42">
        <v>26044</v>
      </c>
    </row>
    <row r="45" spans="1:19" s="32" customFormat="1" ht="15" customHeight="1" x14ac:dyDescent="0.25">
      <c r="C45" s="39" t="s">
        <v>35</v>
      </c>
      <c r="D45" s="40">
        <v>0</v>
      </c>
      <c r="E45" s="40">
        <v>7200</v>
      </c>
      <c r="F45" s="40">
        <v>0</v>
      </c>
      <c r="G45" s="40">
        <v>0</v>
      </c>
      <c r="H45" s="40">
        <v>300</v>
      </c>
      <c r="I45" s="40">
        <v>2150</v>
      </c>
      <c r="J45" s="40">
        <v>3150</v>
      </c>
      <c r="K45" s="40">
        <v>4050</v>
      </c>
      <c r="L45" s="40">
        <v>0</v>
      </c>
      <c r="M45" s="40">
        <v>0</v>
      </c>
      <c r="N45" s="40">
        <v>-52</v>
      </c>
      <c r="O45" s="40">
        <v>25</v>
      </c>
      <c r="P45" s="41">
        <f t="shared" si="10"/>
        <v>16823</v>
      </c>
      <c r="Q45" s="41">
        <v>17398</v>
      </c>
      <c r="R45" s="40">
        <v>4000</v>
      </c>
      <c r="S45" s="42">
        <v>5927</v>
      </c>
    </row>
    <row r="46" spans="1:19" s="32" customFormat="1" ht="15" customHeight="1" x14ac:dyDescent="0.25">
      <c r="C46" s="39" t="s">
        <v>36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17250</v>
      </c>
      <c r="J46" s="40">
        <v>0</v>
      </c>
      <c r="K46" s="40"/>
      <c r="L46" s="40">
        <v>650</v>
      </c>
      <c r="M46" s="40">
        <v>0</v>
      </c>
      <c r="N46" s="40">
        <v>0</v>
      </c>
      <c r="O46" s="40">
        <v>650</v>
      </c>
      <c r="P46" s="41">
        <f t="shared" si="10"/>
        <v>18550</v>
      </c>
      <c r="Q46" s="41">
        <v>19465</v>
      </c>
      <c r="R46" s="40">
        <v>0</v>
      </c>
      <c r="S46" s="42">
        <v>0</v>
      </c>
    </row>
    <row r="47" spans="1:19" s="32" customFormat="1" ht="15" customHeight="1" x14ac:dyDescent="0.25">
      <c r="C47" s="39" t="s">
        <v>37</v>
      </c>
      <c r="D47" s="40">
        <v>0</v>
      </c>
      <c r="E47" s="40">
        <v>0</v>
      </c>
      <c r="F47" s="40">
        <v>973.91</v>
      </c>
      <c r="G47" s="40">
        <v>313.05</v>
      </c>
      <c r="H47" s="40">
        <v>0</v>
      </c>
      <c r="I47" s="40">
        <v>391.31</v>
      </c>
      <c r="J47" s="40">
        <v>747.83</v>
      </c>
      <c r="K47" s="40">
        <v>278</v>
      </c>
      <c r="L47" s="40">
        <v>522</v>
      </c>
      <c r="M47" s="40">
        <v>765</v>
      </c>
      <c r="N47" s="40">
        <v>0</v>
      </c>
      <c r="O47" s="40">
        <v>400</v>
      </c>
      <c r="P47" s="41">
        <f t="shared" si="10"/>
        <v>4391.1000000000004</v>
      </c>
      <c r="Q47" s="41">
        <v>3466.1</v>
      </c>
      <c r="R47" s="40">
        <v>1600</v>
      </c>
      <c r="S47" s="42">
        <v>3670</v>
      </c>
    </row>
    <row r="48" spans="1:19" s="32" customFormat="1" ht="15" customHeight="1" x14ac:dyDescent="0.25">
      <c r="C48" s="39" t="s">
        <v>38</v>
      </c>
      <c r="D48" s="40">
        <v>0</v>
      </c>
      <c r="E48" s="40">
        <v>0</v>
      </c>
      <c r="F48" s="40">
        <v>0</v>
      </c>
      <c r="G48" s="40">
        <v>0</v>
      </c>
      <c r="H48" s="40">
        <v>1800</v>
      </c>
      <c r="I48" s="40">
        <v>877.15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10"/>
        <v>2677.15</v>
      </c>
      <c r="Q48" s="41">
        <v>2677.15</v>
      </c>
      <c r="R48" s="40">
        <v>350</v>
      </c>
      <c r="S48" s="42">
        <v>2545</v>
      </c>
    </row>
    <row r="49" spans="1:19" s="32" customFormat="1" ht="15" customHeight="1" x14ac:dyDescent="0.25">
      <c r="C49" s="39" t="s">
        <v>39</v>
      </c>
      <c r="D49" s="40">
        <v>1141.3</v>
      </c>
      <c r="E49" s="40">
        <v>315.48</v>
      </c>
      <c r="F49" s="40">
        <v>253.91</v>
      </c>
      <c r="G49" s="40">
        <v>128.26</v>
      </c>
      <c r="H49" s="40">
        <v>3122.61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153</v>
      </c>
      <c r="P49" s="41">
        <f t="shared" si="10"/>
        <v>5114.5600000000004</v>
      </c>
      <c r="Q49" s="41">
        <v>4961.5600000000004</v>
      </c>
      <c r="R49" s="40">
        <v>500</v>
      </c>
      <c r="S49" s="42">
        <v>4109</v>
      </c>
    </row>
    <row r="50" spans="1:19" s="32" customFormat="1" ht="15" customHeight="1" x14ac:dyDescent="0.25">
      <c r="C50" s="39" t="s">
        <v>101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1">
        <f t="shared" si="10"/>
        <v>0</v>
      </c>
      <c r="Q50" s="41">
        <v>0</v>
      </c>
      <c r="R50" s="40">
        <v>0</v>
      </c>
      <c r="S50" s="42">
        <v>0</v>
      </c>
    </row>
    <row r="51" spans="1:19" s="32" customFormat="1" ht="15" customHeight="1" x14ac:dyDescent="0.25">
      <c r="C51" s="39" t="s">
        <v>40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1">
        <f t="shared" si="10"/>
        <v>0</v>
      </c>
      <c r="Q51" s="41">
        <v>0</v>
      </c>
      <c r="R51" s="40">
        <v>4000</v>
      </c>
      <c r="S51" s="42">
        <v>0</v>
      </c>
    </row>
    <row r="52" spans="1:19" s="32" customFormat="1" ht="15" customHeight="1" x14ac:dyDescent="0.25">
      <c r="C52" s="43" t="s">
        <v>41</v>
      </c>
      <c r="D52" s="41">
        <f t="shared" ref="D52:O52" si="11">SUM(D41:D51)</f>
        <v>1141.3</v>
      </c>
      <c r="E52" s="41">
        <f t="shared" si="11"/>
        <v>8865.48</v>
      </c>
      <c r="F52" s="41">
        <f t="shared" si="11"/>
        <v>10607.82</v>
      </c>
      <c r="G52" s="41">
        <f t="shared" si="11"/>
        <v>3934.66</v>
      </c>
      <c r="H52" s="41">
        <f t="shared" si="11"/>
        <v>5302.6100000000006</v>
      </c>
      <c r="I52" s="41">
        <f t="shared" si="11"/>
        <v>20668.460000000003</v>
      </c>
      <c r="J52" s="41">
        <f t="shared" si="11"/>
        <v>6889.13</v>
      </c>
      <c r="K52" s="41">
        <f t="shared" si="11"/>
        <v>6353</v>
      </c>
      <c r="L52" s="41">
        <f t="shared" si="11"/>
        <v>5923</v>
      </c>
      <c r="M52" s="41">
        <f t="shared" si="11"/>
        <v>838</v>
      </c>
      <c r="N52" s="41">
        <f t="shared" si="11"/>
        <v>5584</v>
      </c>
      <c r="O52" s="41">
        <f t="shared" si="11"/>
        <v>18556</v>
      </c>
      <c r="P52" s="41">
        <f>SUM(P41:P51)</f>
        <v>94663.459999999992</v>
      </c>
      <c r="Q52" s="41">
        <v>78697.459999999992</v>
      </c>
      <c r="R52" s="41">
        <f>SUM(R41:R51)</f>
        <v>65500</v>
      </c>
      <c r="S52" s="44">
        <f>SUM(S41:S51)</f>
        <v>53079</v>
      </c>
    </row>
    <row r="53" spans="1:19" s="32" customFormat="1" ht="15" customHeight="1" x14ac:dyDescent="0.25">
      <c r="A53" s="31"/>
      <c r="B53" s="31"/>
      <c r="C53" s="36" t="s">
        <v>42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6"/>
    </row>
    <row r="54" spans="1:19" s="32" customFormat="1" ht="15" customHeight="1" x14ac:dyDescent="0.25">
      <c r="C54" s="39" t="s">
        <v>43</v>
      </c>
      <c r="D54" s="40">
        <v>0</v>
      </c>
      <c r="E54" s="40">
        <v>112.17</v>
      </c>
      <c r="F54" s="40">
        <v>0</v>
      </c>
      <c r="G54" s="40">
        <v>0</v>
      </c>
      <c r="H54" s="40">
        <v>0</v>
      </c>
      <c r="I54" s="40">
        <v>1665.66</v>
      </c>
      <c r="J54" s="40">
        <v>0</v>
      </c>
      <c r="K54" s="40">
        <v>867</v>
      </c>
      <c r="L54" s="40">
        <v>222</v>
      </c>
      <c r="M54" s="40">
        <v>258</v>
      </c>
      <c r="N54" s="40">
        <v>2163</v>
      </c>
      <c r="O54" s="40">
        <v>-1300</v>
      </c>
      <c r="P54" s="41">
        <f t="shared" ref="P54:P60" si="12">SUM(D54:O54)</f>
        <v>3987.83</v>
      </c>
      <c r="Q54" s="41">
        <v>5287.83</v>
      </c>
      <c r="R54" s="40">
        <v>0</v>
      </c>
      <c r="S54" s="42">
        <v>1802</v>
      </c>
    </row>
    <row r="55" spans="1:19" s="32" customFormat="1" ht="15" customHeight="1" x14ac:dyDescent="0.25">
      <c r="C55" s="39" t="s">
        <v>145</v>
      </c>
      <c r="D55" s="40">
        <v>0</v>
      </c>
      <c r="E55" s="40">
        <v>0</v>
      </c>
      <c r="F55" s="40">
        <v>0</v>
      </c>
      <c r="G55" s="40">
        <v>0</v>
      </c>
      <c r="H55" s="40">
        <v>-651.13</v>
      </c>
      <c r="I55" s="40">
        <v>4427.12</v>
      </c>
      <c r="J55" s="40">
        <v>0</v>
      </c>
      <c r="K55" s="40">
        <v>0</v>
      </c>
      <c r="L55" s="40">
        <v>0</v>
      </c>
      <c r="M55" s="40">
        <v>3049</v>
      </c>
      <c r="N55" s="40">
        <v>20216</v>
      </c>
      <c r="O55" s="40">
        <f>87+525</f>
        <v>612</v>
      </c>
      <c r="P55" s="41">
        <f t="shared" si="12"/>
        <v>27652.989999999998</v>
      </c>
      <c r="Q55" s="41">
        <v>27040.989999999998</v>
      </c>
      <c r="R55" s="40">
        <v>0</v>
      </c>
      <c r="S55" s="42">
        <v>5265</v>
      </c>
    </row>
    <row r="56" spans="1:19" s="32" customFormat="1" ht="15" customHeight="1" x14ac:dyDescent="0.25">
      <c r="C56" s="39" t="s">
        <v>44</v>
      </c>
      <c r="D56" s="40">
        <v>0</v>
      </c>
      <c r="E56" s="40">
        <v>-669.49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42</v>
      </c>
      <c r="O56" s="40">
        <v>0</v>
      </c>
      <c r="P56" s="41">
        <f t="shared" si="12"/>
        <v>-627.49</v>
      </c>
      <c r="Q56" s="41">
        <v>-627.49</v>
      </c>
      <c r="R56" s="40">
        <v>1000</v>
      </c>
      <c r="S56" s="42">
        <v>3649</v>
      </c>
    </row>
    <row r="57" spans="1:19" s="32" customFormat="1" ht="15" customHeight="1" x14ac:dyDescent="0.25">
      <c r="C57" s="39" t="s">
        <v>101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1">
        <f t="shared" si="12"/>
        <v>0</v>
      </c>
      <c r="Q57" s="41">
        <v>0</v>
      </c>
      <c r="R57" s="40">
        <v>0</v>
      </c>
      <c r="S57" s="42">
        <v>1118</v>
      </c>
    </row>
    <row r="58" spans="1:19" s="32" customFormat="1" ht="15" customHeight="1" x14ac:dyDescent="0.25">
      <c r="C58" s="39" t="s">
        <v>159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876</v>
      </c>
      <c r="M58" s="40">
        <v>0</v>
      </c>
      <c r="N58" s="40">
        <v>0</v>
      </c>
      <c r="O58" s="40">
        <v>0</v>
      </c>
      <c r="P58" s="41">
        <f t="shared" si="12"/>
        <v>876</v>
      </c>
      <c r="Q58" s="41">
        <v>876</v>
      </c>
      <c r="R58" s="40">
        <v>0</v>
      </c>
      <c r="S58" s="42"/>
    </row>
    <row r="59" spans="1:19" s="32" customFormat="1" ht="15" customHeight="1" x14ac:dyDescent="0.25">
      <c r="C59" s="39" t="s">
        <v>46</v>
      </c>
      <c r="D59" s="40">
        <v>-373.83</v>
      </c>
      <c r="E59" s="40">
        <v>555.21</v>
      </c>
      <c r="F59" s="40">
        <v>240</v>
      </c>
      <c r="G59" s="40">
        <v>495.9</v>
      </c>
      <c r="H59" s="40">
        <v>394.06</v>
      </c>
      <c r="I59" s="40">
        <v>0</v>
      </c>
      <c r="J59" s="40">
        <v>0</v>
      </c>
      <c r="K59" s="40">
        <v>110</v>
      </c>
      <c r="L59" s="40">
        <v>0</v>
      </c>
      <c r="M59" s="40">
        <v>0</v>
      </c>
      <c r="N59" s="40">
        <v>0</v>
      </c>
      <c r="O59" s="40">
        <v>748</v>
      </c>
      <c r="P59" s="41">
        <f t="shared" si="12"/>
        <v>2169.34</v>
      </c>
      <c r="Q59" s="41">
        <v>1421.34</v>
      </c>
      <c r="R59" s="40">
        <v>10000</v>
      </c>
      <c r="S59" s="42">
        <v>4872</v>
      </c>
    </row>
    <row r="60" spans="1:19" s="32" customFormat="1" ht="15" customHeight="1" x14ac:dyDescent="0.25">
      <c r="C60" s="43" t="s">
        <v>47</v>
      </c>
      <c r="D60" s="41">
        <f t="shared" ref="D60:O60" si="13">SUM(D54:D59)</f>
        <v>-373.83</v>
      </c>
      <c r="E60" s="41">
        <f t="shared" si="13"/>
        <v>-2.1100000000000136</v>
      </c>
      <c r="F60" s="41">
        <f t="shared" si="13"/>
        <v>240</v>
      </c>
      <c r="G60" s="41">
        <f t="shared" si="13"/>
        <v>495.9</v>
      </c>
      <c r="H60" s="41">
        <f t="shared" si="13"/>
        <v>-257.07</v>
      </c>
      <c r="I60" s="41">
        <f t="shared" si="13"/>
        <v>6092.78</v>
      </c>
      <c r="J60" s="41">
        <f t="shared" si="13"/>
        <v>0</v>
      </c>
      <c r="K60" s="41">
        <f t="shared" si="13"/>
        <v>977</v>
      </c>
      <c r="L60" s="41">
        <f t="shared" si="13"/>
        <v>1098</v>
      </c>
      <c r="M60" s="41">
        <f t="shared" si="13"/>
        <v>3307</v>
      </c>
      <c r="N60" s="41">
        <f t="shared" si="13"/>
        <v>22421</v>
      </c>
      <c r="O60" s="41">
        <f t="shared" si="13"/>
        <v>60</v>
      </c>
      <c r="P60" s="41">
        <f t="shared" si="12"/>
        <v>34058.67</v>
      </c>
      <c r="Q60" s="41">
        <v>33998.67</v>
      </c>
      <c r="R60" s="41">
        <f>SUM(R54:R59)</f>
        <v>11000</v>
      </c>
      <c r="S60" s="44">
        <f>SUM(S54:S59)</f>
        <v>16706</v>
      </c>
    </row>
    <row r="61" spans="1:19" s="32" customFormat="1" ht="25.5" customHeight="1" x14ac:dyDescent="0.25">
      <c r="A61" s="31"/>
      <c r="B61" s="31"/>
      <c r="C61" s="36" t="s">
        <v>48</v>
      </c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6"/>
    </row>
    <row r="62" spans="1:19" s="32" customFormat="1" ht="15" customHeight="1" x14ac:dyDescent="0.25">
      <c r="C62" s="39" t="s">
        <v>49</v>
      </c>
      <c r="D62" s="40">
        <v>0</v>
      </c>
      <c r="E62" s="40">
        <v>0</v>
      </c>
      <c r="F62" s="40">
        <v>0</v>
      </c>
      <c r="G62" s="40">
        <v>50000</v>
      </c>
      <c r="H62" s="40">
        <v>0</v>
      </c>
      <c r="I62" s="40">
        <v>0</v>
      </c>
      <c r="J62" s="40">
        <v>0</v>
      </c>
      <c r="K62" s="40">
        <v>50330</v>
      </c>
      <c r="L62" s="40">
        <f>+L142</f>
        <v>0</v>
      </c>
      <c r="M62" s="40">
        <v>46528</v>
      </c>
      <c r="N62" s="40">
        <v>0</v>
      </c>
      <c r="O62" s="40">
        <v>0</v>
      </c>
      <c r="P62" s="41">
        <f>SUM(D62:O62)</f>
        <v>146858</v>
      </c>
      <c r="Q62" s="41">
        <v>146858</v>
      </c>
      <c r="R62" s="40">
        <v>200000</v>
      </c>
      <c r="S62" s="42">
        <v>0</v>
      </c>
    </row>
    <row r="63" spans="1:19" s="32" customFormat="1" ht="15" customHeight="1" x14ac:dyDescent="0.25">
      <c r="C63" s="39" t="s">
        <v>50</v>
      </c>
      <c r="D63" s="40">
        <v>0</v>
      </c>
      <c r="E63" s="40">
        <v>3500</v>
      </c>
      <c r="F63" s="40">
        <v>0</v>
      </c>
      <c r="G63" s="40">
        <v>0</v>
      </c>
      <c r="H63" s="40">
        <v>-3500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1">
        <f>SUM(D63:O63)</f>
        <v>0</v>
      </c>
      <c r="Q63" s="41">
        <v>0</v>
      </c>
      <c r="R63" s="40">
        <v>0</v>
      </c>
      <c r="S63" s="42">
        <v>50500</v>
      </c>
    </row>
    <row r="64" spans="1:19" s="32" customFormat="1" ht="15" customHeight="1" x14ac:dyDescent="0.25">
      <c r="C64" s="39" t="s">
        <v>51</v>
      </c>
      <c r="D64" s="40">
        <v>-467.99</v>
      </c>
      <c r="E64" s="40">
        <v>6000</v>
      </c>
      <c r="F64" s="40">
        <v>0</v>
      </c>
      <c r="G64" s="40">
        <v>20770.099999999999</v>
      </c>
      <c r="H64" s="40">
        <v>44697.89</v>
      </c>
      <c r="I64" s="40">
        <v>0</v>
      </c>
      <c r="J64" s="40">
        <v>29500</v>
      </c>
      <c r="K64" s="40">
        <v>35589</v>
      </c>
      <c r="L64" s="40">
        <f>+L137</f>
        <v>21300</v>
      </c>
      <c r="M64" s="40">
        <v>0</v>
      </c>
      <c r="N64" s="40">
        <v>0</v>
      </c>
      <c r="O64" s="40">
        <v>42500</v>
      </c>
      <c r="P64" s="41">
        <f>SUM(D64:O64)</f>
        <v>199889</v>
      </c>
      <c r="Q64" s="41">
        <v>157389</v>
      </c>
      <c r="R64" s="40">
        <v>500000</v>
      </c>
      <c r="S64" s="42">
        <v>131109</v>
      </c>
    </row>
    <row r="65" spans="1:19" s="32" customFormat="1" ht="15" customHeight="1" x14ac:dyDescent="0.25">
      <c r="C65" s="39" t="s">
        <v>45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1">
        <f>SUM(D65:O65)</f>
        <v>0</v>
      </c>
      <c r="Q65" s="41">
        <v>0</v>
      </c>
      <c r="R65" s="40">
        <v>100000</v>
      </c>
      <c r="S65" s="42">
        <v>0</v>
      </c>
    </row>
    <row r="66" spans="1:19" s="32" customFormat="1" ht="15" customHeight="1" x14ac:dyDescent="0.25">
      <c r="C66" s="39" t="s">
        <v>52</v>
      </c>
      <c r="D66" s="40">
        <v>4196.92</v>
      </c>
      <c r="E66" s="40">
        <v>4196.92</v>
      </c>
      <c r="F66" s="40">
        <v>4196.92</v>
      </c>
      <c r="G66" s="40">
        <v>6295.38</v>
      </c>
      <c r="H66" s="40">
        <v>4196.92</v>
      </c>
      <c r="I66" s="40">
        <v>4196.92</v>
      </c>
      <c r="J66" s="40">
        <v>4197</v>
      </c>
      <c r="K66" s="40">
        <v>4197</v>
      </c>
      <c r="L66" s="40">
        <v>4197</v>
      </c>
      <c r="M66" s="40">
        <v>4197</v>
      </c>
      <c r="N66" s="40">
        <v>6295</v>
      </c>
      <c r="O66" s="40">
        <v>4197</v>
      </c>
      <c r="P66" s="41">
        <f>SUM(D66:O66)</f>
        <v>54559.979999999996</v>
      </c>
      <c r="Q66" s="41">
        <v>54562.979999999996</v>
      </c>
      <c r="R66" s="40">
        <v>0</v>
      </c>
      <c r="S66" s="42">
        <v>116042</v>
      </c>
    </row>
    <row r="67" spans="1:19" s="32" customFormat="1" ht="15" customHeight="1" x14ac:dyDescent="0.25">
      <c r="C67" s="43" t="s">
        <v>160</v>
      </c>
      <c r="D67" s="41">
        <f>SUM(D62:D66)</f>
        <v>3728.9300000000003</v>
      </c>
      <c r="E67" s="41">
        <f>SUM(E62:E66)</f>
        <v>13696.92</v>
      </c>
      <c r="F67" s="41">
        <f>SUM(F62:F66)</f>
        <v>4196.92</v>
      </c>
      <c r="G67" s="41">
        <f>SUM(G62:G66)</f>
        <v>77065.48000000001</v>
      </c>
      <c r="H67" s="41">
        <f t="shared" ref="H67" si="14">SUM(H62:H66)</f>
        <v>45394.81</v>
      </c>
      <c r="I67" s="41">
        <f>SUM(I62:I66)</f>
        <v>4196.92</v>
      </c>
      <c r="J67" s="41">
        <f>SUM(J62:J66)</f>
        <v>33697</v>
      </c>
      <c r="K67" s="41">
        <f t="shared" ref="K67:O67" si="15">SUM(K62:K66)</f>
        <v>90116</v>
      </c>
      <c r="L67" s="41">
        <f t="shared" si="15"/>
        <v>25497</v>
      </c>
      <c r="M67" s="41">
        <f t="shared" si="15"/>
        <v>50725</v>
      </c>
      <c r="N67" s="41">
        <f t="shared" si="15"/>
        <v>6295</v>
      </c>
      <c r="O67" s="41">
        <f t="shared" si="15"/>
        <v>46697</v>
      </c>
      <c r="P67" s="41">
        <f>SUM(P62:P66)</f>
        <v>401306.98</v>
      </c>
      <c r="Q67" s="41">
        <v>358809.98</v>
      </c>
      <c r="R67" s="41">
        <f>SUM(R62:R66)</f>
        <v>800000</v>
      </c>
      <c r="S67" s="44">
        <f>SUM(S62:S66)</f>
        <v>297651</v>
      </c>
    </row>
    <row r="68" spans="1:19" s="32" customFormat="1" ht="9" customHeight="1" x14ac:dyDescent="0.25">
      <c r="C68" s="69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4"/>
    </row>
    <row r="69" spans="1:19" s="32" customFormat="1" ht="15" customHeight="1" x14ac:dyDescent="0.25">
      <c r="C69" s="69" t="s">
        <v>53</v>
      </c>
      <c r="D69" s="41">
        <f>+D67+D60+D52</f>
        <v>4496.4000000000005</v>
      </c>
      <c r="E69" s="41">
        <f t="shared" ref="E69:S69" si="16">+E67+E60+E52</f>
        <v>22560.29</v>
      </c>
      <c r="F69" s="41">
        <f t="shared" si="16"/>
        <v>15044.74</v>
      </c>
      <c r="G69" s="41">
        <f t="shared" si="16"/>
        <v>81496.040000000008</v>
      </c>
      <c r="H69" s="41">
        <f t="shared" si="16"/>
        <v>50440.35</v>
      </c>
      <c r="I69" s="41">
        <f t="shared" si="16"/>
        <v>30958.160000000003</v>
      </c>
      <c r="J69" s="41">
        <f t="shared" si="16"/>
        <v>40586.129999999997</v>
      </c>
      <c r="K69" s="41">
        <f t="shared" si="16"/>
        <v>97446</v>
      </c>
      <c r="L69" s="41">
        <f t="shared" si="16"/>
        <v>32518</v>
      </c>
      <c r="M69" s="41">
        <f t="shared" si="16"/>
        <v>54870</v>
      </c>
      <c r="N69" s="41">
        <f t="shared" si="16"/>
        <v>34300</v>
      </c>
      <c r="O69" s="41">
        <f t="shared" si="16"/>
        <v>65313</v>
      </c>
      <c r="P69" s="41">
        <f t="shared" si="16"/>
        <v>530029.11</v>
      </c>
      <c r="Q69" s="41">
        <v>471506.11</v>
      </c>
      <c r="R69" s="41">
        <f t="shared" si="16"/>
        <v>876500</v>
      </c>
      <c r="S69" s="44">
        <f t="shared" si="16"/>
        <v>367436</v>
      </c>
    </row>
    <row r="70" spans="1:19" s="32" customFormat="1" ht="8.15" customHeight="1" x14ac:dyDescent="0.3">
      <c r="C70" s="47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9"/>
      <c r="Q70" s="49"/>
      <c r="R70" s="48"/>
      <c r="S70" s="50"/>
    </row>
    <row r="71" spans="1:19" s="32" customFormat="1" ht="15" customHeight="1" x14ac:dyDescent="0.25">
      <c r="C71" s="53" t="s">
        <v>54</v>
      </c>
      <c r="D71" s="54">
        <f t="shared" ref="D71:F71" si="17">+D37-D69</f>
        <v>49778.82</v>
      </c>
      <c r="E71" s="54">
        <f t="shared" si="17"/>
        <v>50630.65</v>
      </c>
      <c r="F71" s="54">
        <f t="shared" si="17"/>
        <v>38511.199999999997</v>
      </c>
      <c r="G71" s="54">
        <f>+G37-G69</f>
        <v>-24721.060000000005</v>
      </c>
      <c r="H71" s="54">
        <f t="shared" ref="H71:S71" si="18">+H37-H69</f>
        <v>125818.76999999999</v>
      </c>
      <c r="I71" s="54">
        <f t="shared" si="18"/>
        <v>12299.669999999998</v>
      </c>
      <c r="J71" s="54">
        <f t="shared" si="18"/>
        <v>64575.02</v>
      </c>
      <c r="K71" s="78">
        <f t="shared" si="18"/>
        <v>17593</v>
      </c>
      <c r="L71" s="54">
        <f t="shared" si="18"/>
        <v>15548</v>
      </c>
      <c r="M71" s="54">
        <f t="shared" si="18"/>
        <v>24097</v>
      </c>
      <c r="N71" s="54">
        <f t="shared" si="18"/>
        <v>-3521</v>
      </c>
      <c r="O71" s="54">
        <f t="shared" si="18"/>
        <v>66285</v>
      </c>
      <c r="P71" s="54">
        <f t="shared" si="18"/>
        <v>436895.07000000007</v>
      </c>
      <c r="Q71" s="54">
        <v>450084.07000000007</v>
      </c>
      <c r="R71" s="54">
        <f t="shared" si="18"/>
        <v>541000</v>
      </c>
      <c r="S71" s="55">
        <f t="shared" si="18"/>
        <v>514421</v>
      </c>
    </row>
    <row r="72" spans="1:19" s="32" customFormat="1" ht="15" customHeight="1" x14ac:dyDescent="0.3">
      <c r="C72" s="47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9"/>
      <c r="Q72" s="49"/>
      <c r="R72" s="48"/>
      <c r="S72" s="50"/>
    </row>
    <row r="73" spans="1:19" s="32" customFormat="1" ht="15" customHeight="1" x14ac:dyDescent="0.25">
      <c r="C73" s="36" t="s">
        <v>55</v>
      </c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6"/>
    </row>
    <row r="74" spans="1:19" s="32" customFormat="1" ht="7" customHeight="1" x14ac:dyDescent="0.25">
      <c r="C74" s="36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6"/>
    </row>
    <row r="75" spans="1:19" s="32" customFormat="1" ht="15" customHeight="1" x14ac:dyDescent="0.25">
      <c r="A75" s="31"/>
      <c r="B75" s="31"/>
      <c r="C75" s="36" t="s">
        <v>56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6"/>
    </row>
    <row r="76" spans="1:19" s="32" customFormat="1" ht="15" customHeight="1" x14ac:dyDescent="0.25">
      <c r="C76" s="39" t="s">
        <v>57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3168.67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1">
        <f t="shared" ref="P76:P92" si="19">SUM(D76:O76)</f>
        <v>3168.67</v>
      </c>
      <c r="Q76" s="41">
        <v>3168.67</v>
      </c>
      <c r="R76" s="40">
        <v>0</v>
      </c>
      <c r="S76" s="42">
        <v>3574</v>
      </c>
    </row>
    <row r="77" spans="1:19" s="32" customFormat="1" ht="15" customHeight="1" x14ac:dyDescent="0.25">
      <c r="C77" s="39" t="s">
        <v>58</v>
      </c>
      <c r="D77" s="40">
        <v>39</v>
      </c>
      <c r="E77" s="40">
        <v>1030.24</v>
      </c>
      <c r="F77" s="40">
        <v>399</v>
      </c>
      <c r="G77" s="40">
        <v>2507.35</v>
      </c>
      <c r="H77" s="40">
        <v>591.5</v>
      </c>
      <c r="I77" s="40">
        <v>39</v>
      </c>
      <c r="J77" s="40">
        <v>139</v>
      </c>
      <c r="K77" s="40">
        <v>531</v>
      </c>
      <c r="L77" s="40">
        <v>1414</v>
      </c>
      <c r="M77" s="40">
        <v>139</v>
      </c>
      <c r="N77" s="40">
        <v>39</v>
      </c>
      <c r="O77" s="40">
        <f>39+1096</f>
        <v>1135</v>
      </c>
      <c r="P77" s="41">
        <f t="shared" si="19"/>
        <v>8003.09</v>
      </c>
      <c r="Q77" s="41">
        <v>6918.09</v>
      </c>
      <c r="R77" s="40">
        <v>40000</v>
      </c>
      <c r="S77" s="42">
        <v>39</v>
      </c>
    </row>
    <row r="78" spans="1:19" s="32" customFormat="1" ht="15" customHeight="1" x14ac:dyDescent="0.25">
      <c r="C78" s="39" t="s">
        <v>59</v>
      </c>
      <c r="D78" s="40">
        <v>-6451.5</v>
      </c>
      <c r="E78" s="40">
        <v>9826.2999999999993</v>
      </c>
      <c r="F78" s="40">
        <v>548.5</v>
      </c>
      <c r="G78" s="40">
        <v>1043.5</v>
      </c>
      <c r="H78" s="40">
        <v>548.5</v>
      </c>
      <c r="I78" s="40">
        <v>1077.25</v>
      </c>
      <c r="J78" s="40">
        <v>548.5</v>
      </c>
      <c r="K78" s="40">
        <v>459</v>
      </c>
      <c r="L78" s="40">
        <v>457</v>
      </c>
      <c r="M78" s="40">
        <v>349</v>
      </c>
      <c r="N78" s="40">
        <v>567</v>
      </c>
      <c r="O78" s="40">
        <f>562+7500+750</f>
        <v>8812</v>
      </c>
      <c r="P78" s="41">
        <f t="shared" si="19"/>
        <v>17785.05</v>
      </c>
      <c r="Q78" s="41">
        <v>9573.0499999999993</v>
      </c>
      <c r="R78" s="40">
        <v>17240</v>
      </c>
      <c r="S78" s="42">
        <v>17204</v>
      </c>
    </row>
    <row r="79" spans="1:19" s="32" customFormat="1" ht="15" customHeight="1" x14ac:dyDescent="0.25">
      <c r="C79" s="39" t="s">
        <v>60</v>
      </c>
      <c r="D79" s="40">
        <v>106.81</v>
      </c>
      <c r="E79" s="40">
        <v>166</v>
      </c>
      <c r="F79" s="40">
        <v>62.25</v>
      </c>
      <c r="G79" s="40">
        <v>213.22</v>
      </c>
      <c r="H79" s="40">
        <v>184.84</v>
      </c>
      <c r="I79" s="40">
        <v>207.6</v>
      </c>
      <c r="J79" s="40">
        <v>885</v>
      </c>
      <c r="K79" s="40">
        <v>141</v>
      </c>
      <c r="L79" s="40">
        <v>76</v>
      </c>
      <c r="M79" s="40">
        <v>132</v>
      </c>
      <c r="N79" s="40">
        <v>21</v>
      </c>
      <c r="O79" s="40">
        <v>48</v>
      </c>
      <c r="P79" s="41">
        <f t="shared" si="19"/>
        <v>2243.7200000000003</v>
      </c>
      <c r="Q79" s="41">
        <v>2237.7200000000003</v>
      </c>
      <c r="R79" s="40">
        <v>1260</v>
      </c>
      <c r="S79" s="42">
        <v>1551</v>
      </c>
    </row>
    <row r="80" spans="1:19" s="32" customFormat="1" ht="15" customHeight="1" x14ac:dyDescent="0.25">
      <c r="C80" s="39" t="s">
        <v>61</v>
      </c>
      <c r="D80" s="40">
        <v>137.63</v>
      </c>
      <c r="E80" s="40">
        <v>131.29</v>
      </c>
      <c r="F80" s="40">
        <v>6192.77</v>
      </c>
      <c r="G80" s="40">
        <v>89.46</v>
      </c>
      <c r="H80" s="40">
        <v>2250</v>
      </c>
      <c r="I80" s="40">
        <v>569.65</v>
      </c>
      <c r="J80" s="40">
        <v>942.5</v>
      </c>
      <c r="K80" s="40">
        <v>6329</v>
      </c>
      <c r="L80" s="40">
        <v>3836</v>
      </c>
      <c r="M80" s="40">
        <v>645</v>
      </c>
      <c r="N80" s="40">
        <v>684</v>
      </c>
      <c r="O80" s="40">
        <v>747</v>
      </c>
      <c r="P80" s="41">
        <f t="shared" si="19"/>
        <v>22554.300000000003</v>
      </c>
      <c r="Q80" s="41">
        <v>20157.3</v>
      </c>
      <c r="R80" s="40">
        <v>10500</v>
      </c>
      <c r="S80" s="42">
        <v>14913</v>
      </c>
    </row>
    <row r="81" spans="1:19" s="32" customFormat="1" ht="15" customHeight="1" x14ac:dyDescent="0.25">
      <c r="C81" s="39" t="s">
        <v>62</v>
      </c>
      <c r="D81" s="40">
        <v>582.04999999999995</v>
      </c>
      <c r="E81" s="40">
        <v>1348.36</v>
      </c>
      <c r="F81" s="40">
        <v>1447.62</v>
      </c>
      <c r="G81" s="40">
        <v>-1055.95</v>
      </c>
      <c r="H81" s="40">
        <v>1523.42</v>
      </c>
      <c r="I81" s="40">
        <v>1995.61</v>
      </c>
      <c r="J81" s="40">
        <v>199.67</v>
      </c>
      <c r="K81" s="40">
        <v>708</v>
      </c>
      <c r="L81" s="40">
        <v>1618</v>
      </c>
      <c r="M81" s="40">
        <v>994</v>
      </c>
      <c r="N81" s="40">
        <v>452</v>
      </c>
      <c r="O81" s="40">
        <v>227</v>
      </c>
      <c r="P81" s="41">
        <f t="shared" si="19"/>
        <v>10039.779999999999</v>
      </c>
      <c r="Q81" s="41">
        <v>10562.779999999999</v>
      </c>
      <c r="R81" s="40">
        <v>7000</v>
      </c>
      <c r="S81" s="42">
        <v>11148</v>
      </c>
    </row>
    <row r="82" spans="1:19" s="32" customFormat="1" ht="15" customHeight="1" x14ac:dyDescent="0.25">
      <c r="C82" s="39" t="s">
        <v>63</v>
      </c>
      <c r="D82" s="40">
        <v>500</v>
      </c>
      <c r="E82" s="40">
        <v>1200</v>
      </c>
      <c r="F82" s="40">
        <v>4492.84</v>
      </c>
      <c r="G82" s="40">
        <v>0</v>
      </c>
      <c r="H82" s="40">
        <v>1614.75</v>
      </c>
      <c r="I82" s="40">
        <v>0</v>
      </c>
      <c r="J82" s="40">
        <v>0</v>
      </c>
      <c r="K82" s="40">
        <v>0</v>
      </c>
      <c r="L82" s="40">
        <v>-2851</v>
      </c>
      <c r="M82" s="40">
        <v>0</v>
      </c>
      <c r="N82" s="40">
        <v>0</v>
      </c>
      <c r="O82" s="40">
        <v>0</v>
      </c>
      <c r="P82" s="41">
        <f t="shared" si="19"/>
        <v>4956.59</v>
      </c>
      <c r="Q82" s="41">
        <v>4956.59</v>
      </c>
      <c r="R82" s="40">
        <v>25000</v>
      </c>
      <c r="S82" s="42">
        <v>23122</v>
      </c>
    </row>
    <row r="83" spans="1:19" s="32" customFormat="1" ht="15" customHeight="1" x14ac:dyDescent="0.25">
      <c r="C83" s="39" t="s">
        <v>64</v>
      </c>
      <c r="D83" s="40">
        <v>430</v>
      </c>
      <c r="E83" s="40">
        <v>430</v>
      </c>
      <c r="F83" s="40">
        <v>430</v>
      </c>
      <c r="G83" s="40">
        <v>430</v>
      </c>
      <c r="H83" s="40">
        <v>430</v>
      </c>
      <c r="I83" s="40">
        <v>430</v>
      </c>
      <c r="J83" s="40">
        <v>430</v>
      </c>
      <c r="K83" s="40">
        <v>430</v>
      </c>
      <c r="L83" s="40">
        <v>430</v>
      </c>
      <c r="M83" s="40">
        <v>430</v>
      </c>
      <c r="N83" s="40">
        <v>430</v>
      </c>
      <c r="O83" s="40">
        <v>430</v>
      </c>
      <c r="P83" s="41">
        <f t="shared" si="19"/>
        <v>5160</v>
      </c>
      <c r="Q83" s="41">
        <v>5160</v>
      </c>
      <c r="R83" s="40">
        <v>6100</v>
      </c>
      <c r="S83" s="42">
        <v>5160</v>
      </c>
    </row>
    <row r="84" spans="1:19" s="32" customFormat="1" ht="15" customHeight="1" x14ac:dyDescent="0.25">
      <c r="C84" s="39" t="s">
        <v>65</v>
      </c>
      <c r="D84" s="40">
        <v>149.11000000000001</v>
      </c>
      <c r="E84" s="40">
        <v>587.47</v>
      </c>
      <c r="F84" s="40">
        <v>128.51</v>
      </c>
      <c r="G84" s="40">
        <v>-255.01</v>
      </c>
      <c r="H84" s="40">
        <v>-930.6</v>
      </c>
      <c r="I84" s="40">
        <v>774.87</v>
      </c>
      <c r="J84" s="40">
        <v>-106.7</v>
      </c>
      <c r="K84" s="40">
        <v>178</v>
      </c>
      <c r="L84" s="40">
        <v>482</v>
      </c>
      <c r="M84" s="40">
        <v>842</v>
      </c>
      <c r="N84" s="40">
        <v>0</v>
      </c>
      <c r="O84" s="40">
        <v>0</v>
      </c>
      <c r="P84" s="41">
        <f t="shared" si="19"/>
        <v>1849.65</v>
      </c>
      <c r="Q84" s="41">
        <v>1999.65</v>
      </c>
      <c r="R84" s="40">
        <v>0</v>
      </c>
      <c r="S84" s="42">
        <v>2779</v>
      </c>
    </row>
    <row r="85" spans="1:19" s="32" customFormat="1" ht="15" customHeight="1" x14ac:dyDescent="0.25">
      <c r="C85" s="39" t="s">
        <v>66</v>
      </c>
      <c r="D85" s="40">
        <v>1878.26</v>
      </c>
      <c r="E85" s="40">
        <v>90.87</v>
      </c>
      <c r="F85" s="40">
        <v>18.09</v>
      </c>
      <c r="G85" s="40">
        <v>0</v>
      </c>
      <c r="H85" s="40">
        <v>220</v>
      </c>
      <c r="I85" s="40">
        <v>0</v>
      </c>
      <c r="J85" s="40">
        <v>226.09</v>
      </c>
      <c r="K85" s="40">
        <v>9</v>
      </c>
      <c r="L85" s="40">
        <v>274</v>
      </c>
      <c r="M85" s="40">
        <v>214</v>
      </c>
      <c r="N85" s="40">
        <v>0</v>
      </c>
      <c r="O85" s="40">
        <v>0</v>
      </c>
      <c r="P85" s="41">
        <f t="shared" si="19"/>
        <v>2930.3100000000004</v>
      </c>
      <c r="Q85" s="41">
        <v>3030.3100000000004</v>
      </c>
      <c r="R85" s="40">
        <v>0</v>
      </c>
      <c r="S85" s="42">
        <v>2163</v>
      </c>
    </row>
    <row r="86" spans="1:19" s="32" customFormat="1" ht="15" customHeight="1" x14ac:dyDescent="0.25">
      <c r="C86" s="39" t="s">
        <v>67</v>
      </c>
      <c r="D86" s="40">
        <v>0</v>
      </c>
      <c r="E86" s="40">
        <v>0</v>
      </c>
      <c r="F86" s="40">
        <v>508.76</v>
      </c>
      <c r="G86" s="40">
        <v>508.76</v>
      </c>
      <c r="H86" s="40">
        <v>508.76</v>
      </c>
      <c r="I86" s="40">
        <v>508.76</v>
      </c>
      <c r="J86" s="40">
        <v>509</v>
      </c>
      <c r="K86" s="40">
        <v>509</v>
      </c>
      <c r="L86" s="40">
        <v>509</v>
      </c>
      <c r="M86" s="40">
        <v>509</v>
      </c>
      <c r="N86" s="40">
        <v>509</v>
      </c>
      <c r="O86" s="40">
        <v>509</v>
      </c>
      <c r="P86" s="41">
        <f t="shared" si="19"/>
        <v>5089.04</v>
      </c>
      <c r="Q86" s="41">
        <v>5080.04</v>
      </c>
      <c r="R86" s="40">
        <v>7000</v>
      </c>
      <c r="S86" s="42">
        <v>5694</v>
      </c>
    </row>
    <row r="87" spans="1:19" s="32" customFormat="1" ht="15" customHeight="1" x14ac:dyDescent="0.25">
      <c r="C87" s="39" t="s">
        <v>102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  <c r="O87" s="40">
        <v>0</v>
      </c>
      <c r="P87" s="41">
        <f t="shared" si="19"/>
        <v>0</v>
      </c>
      <c r="Q87" s="41">
        <v>0</v>
      </c>
      <c r="R87" s="40">
        <v>0</v>
      </c>
      <c r="S87" s="42">
        <v>1535</v>
      </c>
    </row>
    <row r="88" spans="1:19" s="32" customFormat="1" ht="15" customHeight="1" x14ac:dyDescent="0.25">
      <c r="C88" s="39" t="s">
        <v>68</v>
      </c>
      <c r="D88" s="40">
        <v>0</v>
      </c>
      <c r="E88" s="40">
        <v>0</v>
      </c>
      <c r="F88" s="40">
        <v>0</v>
      </c>
      <c r="G88" s="40">
        <v>0</v>
      </c>
      <c r="H88" s="40">
        <v>8350</v>
      </c>
      <c r="I88" s="40">
        <v>0</v>
      </c>
      <c r="J88" s="40">
        <v>15250</v>
      </c>
      <c r="K88" s="40">
        <v>0</v>
      </c>
      <c r="L88" s="40">
        <v>0</v>
      </c>
      <c r="M88" s="40">
        <v>0</v>
      </c>
      <c r="N88" s="40">
        <v>0</v>
      </c>
      <c r="O88" s="40">
        <v>2405</v>
      </c>
      <c r="P88" s="41">
        <f t="shared" si="19"/>
        <v>26005</v>
      </c>
      <c r="Q88" s="41">
        <v>24600</v>
      </c>
      <c r="R88" s="40">
        <v>4000</v>
      </c>
      <c r="S88" s="42">
        <v>0</v>
      </c>
    </row>
    <row r="89" spans="1:19" s="32" customFormat="1" ht="15" customHeight="1" x14ac:dyDescent="0.25">
      <c r="C89" s="39" t="s">
        <v>69</v>
      </c>
      <c r="D89" s="40">
        <v>557.76</v>
      </c>
      <c r="E89" s="40">
        <v>515.91</v>
      </c>
      <c r="F89" s="40">
        <v>588.67999999999995</v>
      </c>
      <c r="G89" s="40">
        <v>420.01</v>
      </c>
      <c r="H89" s="40">
        <v>1106.51</v>
      </c>
      <c r="I89" s="40">
        <v>596.5</v>
      </c>
      <c r="J89" s="40">
        <v>285.66000000000003</v>
      </c>
      <c r="K89" s="40">
        <v>497</v>
      </c>
      <c r="L89" s="40">
        <v>649</v>
      </c>
      <c r="M89" s="40">
        <v>199</v>
      </c>
      <c r="N89" s="40">
        <v>394</v>
      </c>
      <c r="O89" s="40">
        <v>445</v>
      </c>
      <c r="P89" s="41">
        <f t="shared" si="19"/>
        <v>6255.03</v>
      </c>
      <c r="Q89" s="41">
        <v>6210.03</v>
      </c>
      <c r="R89" s="40">
        <v>10000</v>
      </c>
      <c r="S89" s="42">
        <v>10215</v>
      </c>
    </row>
    <row r="90" spans="1:19" s="32" customFormat="1" ht="15" customHeight="1" x14ac:dyDescent="0.25">
      <c r="C90" s="39" t="s">
        <v>70</v>
      </c>
      <c r="D90" s="40">
        <v>468.79</v>
      </c>
      <c r="E90" s="40">
        <v>387.56</v>
      </c>
      <c r="F90" s="40">
        <v>2557.13</v>
      </c>
      <c r="G90" s="40">
        <v>154.76</v>
      </c>
      <c r="H90" s="40">
        <v>917</v>
      </c>
      <c r="I90" s="40">
        <v>213.52</v>
      </c>
      <c r="J90" s="40">
        <v>981</v>
      </c>
      <c r="K90" s="40">
        <v>14</v>
      </c>
      <c r="L90" s="40">
        <v>309</v>
      </c>
      <c r="M90" s="40">
        <v>223</v>
      </c>
      <c r="N90" s="40">
        <v>203</v>
      </c>
      <c r="O90" s="40">
        <v>208</v>
      </c>
      <c r="P90" s="41">
        <f t="shared" si="19"/>
        <v>6636.76</v>
      </c>
      <c r="Q90" s="41">
        <v>6425.76</v>
      </c>
      <c r="R90" s="40">
        <v>0</v>
      </c>
      <c r="S90" s="42">
        <v>2169</v>
      </c>
    </row>
    <row r="91" spans="1:19" s="32" customFormat="1" ht="15" customHeight="1" x14ac:dyDescent="0.25">
      <c r="C91" s="39" t="s">
        <v>71</v>
      </c>
      <c r="D91" s="40">
        <v>273.05</v>
      </c>
      <c r="E91" s="40">
        <v>85.95</v>
      </c>
      <c r="F91" s="40">
        <v>0</v>
      </c>
      <c r="G91" s="40">
        <v>0</v>
      </c>
      <c r="H91" s="40">
        <v>24</v>
      </c>
      <c r="I91" s="40">
        <v>93.76</v>
      </c>
      <c r="J91" s="40">
        <v>0</v>
      </c>
      <c r="K91" s="40">
        <v>34</v>
      </c>
      <c r="L91" s="40">
        <v>98</v>
      </c>
      <c r="M91" s="40">
        <v>0</v>
      </c>
      <c r="N91" s="40">
        <v>0</v>
      </c>
      <c r="O91" s="40">
        <v>178</v>
      </c>
      <c r="P91" s="41">
        <f t="shared" si="19"/>
        <v>786.76</v>
      </c>
      <c r="Q91" s="41">
        <v>658.76</v>
      </c>
      <c r="R91" s="40">
        <v>2000</v>
      </c>
      <c r="S91" s="42">
        <v>1412</v>
      </c>
    </row>
    <row r="92" spans="1:19" s="32" customFormat="1" ht="15" customHeight="1" x14ac:dyDescent="0.25">
      <c r="C92" s="39" t="s">
        <v>72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1">
        <f t="shared" si="19"/>
        <v>0</v>
      </c>
      <c r="Q92" s="41">
        <v>0</v>
      </c>
      <c r="R92" s="40">
        <v>1000</v>
      </c>
      <c r="S92" s="42">
        <v>735</v>
      </c>
    </row>
    <row r="93" spans="1:19" s="32" customFormat="1" ht="15" customHeight="1" x14ac:dyDescent="0.25">
      <c r="C93" s="43" t="s">
        <v>73</v>
      </c>
      <c r="D93" s="41">
        <f>SUM(D76:D92)</f>
        <v>-1329.0399999999993</v>
      </c>
      <c r="E93" s="41">
        <f>SUM(E76:E92)</f>
        <v>15799.95</v>
      </c>
      <c r="F93" s="41">
        <f>SUM(F76:F92)</f>
        <v>17374.150000000001</v>
      </c>
      <c r="G93" s="41">
        <f>SUM(G76:G92)</f>
        <v>4056.1000000000004</v>
      </c>
      <c r="H93" s="41">
        <f t="shared" ref="H93" si="20">SUM(H76:H92)</f>
        <v>17338.68</v>
      </c>
      <c r="I93" s="41">
        <f>SUM(I76:I92)</f>
        <v>9675.19</v>
      </c>
      <c r="J93" s="41">
        <f>SUM(J76:J92)</f>
        <v>20289.72</v>
      </c>
      <c r="K93" s="41">
        <f t="shared" ref="K93:O93" si="21">SUM(K76:K92)</f>
        <v>9839</v>
      </c>
      <c r="L93" s="41">
        <f t="shared" si="21"/>
        <v>7301</v>
      </c>
      <c r="M93" s="41">
        <f t="shared" si="21"/>
        <v>4676</v>
      </c>
      <c r="N93" s="41">
        <f t="shared" si="21"/>
        <v>3299</v>
      </c>
      <c r="O93" s="41">
        <f t="shared" si="21"/>
        <v>15144</v>
      </c>
      <c r="P93" s="41">
        <f>SUM(P76:P92)</f>
        <v>123463.74999999997</v>
      </c>
      <c r="Q93" s="41">
        <v>110738.75</v>
      </c>
      <c r="R93" s="41">
        <f>SUM(R76:R92)</f>
        <v>131100</v>
      </c>
      <c r="S93" s="44">
        <f>SUM(S76:S92)</f>
        <v>103413</v>
      </c>
    </row>
    <row r="94" spans="1:19" s="32" customFormat="1" ht="15" customHeight="1" x14ac:dyDescent="0.25">
      <c r="C94" s="69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4"/>
    </row>
    <row r="95" spans="1:19" s="32" customFormat="1" ht="15" customHeight="1" x14ac:dyDescent="0.25">
      <c r="A95" s="31"/>
      <c r="B95" s="31"/>
      <c r="C95" s="36" t="s">
        <v>74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6"/>
    </row>
    <row r="96" spans="1:19" s="32" customFormat="1" ht="15" customHeight="1" x14ac:dyDescent="0.25">
      <c r="C96" s="39" t="s">
        <v>75</v>
      </c>
      <c r="D96" s="40">
        <v>53.92</v>
      </c>
      <c r="E96" s="40">
        <v>71.09</v>
      </c>
      <c r="F96" s="40">
        <v>177.87</v>
      </c>
      <c r="G96" s="40">
        <v>186.54</v>
      </c>
      <c r="H96" s="40">
        <v>135.84</v>
      </c>
      <c r="I96" s="40">
        <v>246.59</v>
      </c>
      <c r="J96" s="40">
        <v>110.28</v>
      </c>
      <c r="K96" s="40">
        <v>0</v>
      </c>
      <c r="L96" s="40">
        <v>114</v>
      </c>
      <c r="M96" s="40">
        <v>135</v>
      </c>
      <c r="N96" s="40">
        <v>256</v>
      </c>
      <c r="O96" s="40">
        <v>0</v>
      </c>
      <c r="P96" s="41">
        <f>SUM(D96:O96)</f>
        <v>1487.13</v>
      </c>
      <c r="Q96" s="41">
        <v>1769.13</v>
      </c>
      <c r="R96" s="40">
        <v>1020</v>
      </c>
      <c r="S96" s="42">
        <v>1514</v>
      </c>
    </row>
    <row r="97" spans="1:19" s="32" customFormat="1" ht="15" customHeight="1" x14ac:dyDescent="0.25">
      <c r="C97" s="39" t="s">
        <v>76</v>
      </c>
      <c r="D97" s="40">
        <v>793.95</v>
      </c>
      <c r="E97" s="40">
        <v>3.5</v>
      </c>
      <c r="F97" s="40">
        <v>463.7</v>
      </c>
      <c r="G97" s="40">
        <v>460</v>
      </c>
      <c r="H97" s="40">
        <v>3.7</v>
      </c>
      <c r="I97" s="40">
        <v>578.70000000000005</v>
      </c>
      <c r="J97" s="40">
        <v>462.71</v>
      </c>
      <c r="K97" s="40">
        <v>464</v>
      </c>
      <c r="L97" s="40">
        <v>510</v>
      </c>
      <c r="M97" s="40">
        <v>0</v>
      </c>
      <c r="N97" s="40">
        <v>924</v>
      </c>
      <c r="O97" s="40">
        <v>4</v>
      </c>
      <c r="P97" s="41">
        <f>SUM(D97:O97)</f>
        <v>4668.26</v>
      </c>
      <c r="Q97" s="41">
        <v>5114.26</v>
      </c>
      <c r="R97" s="40">
        <v>6000</v>
      </c>
      <c r="S97" s="42">
        <v>5019</v>
      </c>
    </row>
    <row r="98" spans="1:19" s="32" customFormat="1" ht="15" customHeight="1" x14ac:dyDescent="0.25">
      <c r="C98" s="39" t="s">
        <v>77</v>
      </c>
      <c r="D98" s="40">
        <v>2962.9</v>
      </c>
      <c r="E98" s="40">
        <v>2370.3200000000002</v>
      </c>
      <c r="F98" s="40">
        <v>2962.9</v>
      </c>
      <c r="G98" s="40">
        <v>2370.3200000000002</v>
      </c>
      <c r="H98" s="40">
        <v>2370.3200000000002</v>
      </c>
      <c r="I98" s="40">
        <v>2962.9</v>
      </c>
      <c r="J98" s="40">
        <v>2370.3200000000002</v>
      </c>
      <c r="K98" s="40">
        <v>2370</v>
      </c>
      <c r="L98" s="40">
        <v>2963</v>
      </c>
      <c r="M98" s="40">
        <v>2370</v>
      </c>
      <c r="N98" s="40">
        <v>2370</v>
      </c>
      <c r="O98" s="40">
        <v>2963</v>
      </c>
      <c r="P98" s="41">
        <f>SUM(D98:O98)</f>
        <v>31405.98</v>
      </c>
      <c r="Q98" s="41">
        <v>30812.98</v>
      </c>
      <c r="R98" s="40">
        <v>34584</v>
      </c>
      <c r="S98" s="42">
        <v>30814</v>
      </c>
    </row>
    <row r="99" spans="1:19" s="32" customFormat="1" ht="15" customHeight="1" x14ac:dyDescent="0.25">
      <c r="C99" s="39" t="s">
        <v>78</v>
      </c>
      <c r="D99" s="40">
        <v>0</v>
      </c>
      <c r="E99" s="40">
        <v>0</v>
      </c>
      <c r="F99" s="40">
        <v>3210.72</v>
      </c>
      <c r="G99" s="40">
        <v>-2514.2600000000002</v>
      </c>
      <c r="H99" s="40">
        <v>0</v>
      </c>
      <c r="I99" s="40">
        <v>40.18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1">
        <f>SUM(D99:O99)</f>
        <v>736.63999999999953</v>
      </c>
      <c r="Q99" s="41">
        <v>736.63999999999953</v>
      </c>
      <c r="R99" s="40">
        <v>1196</v>
      </c>
      <c r="S99" s="42">
        <v>699</v>
      </c>
    </row>
    <row r="100" spans="1:19" s="32" customFormat="1" ht="15" customHeight="1" x14ac:dyDescent="0.25">
      <c r="C100" s="39" t="s">
        <v>79</v>
      </c>
      <c r="D100" s="40">
        <v>663.46</v>
      </c>
      <c r="E100" s="40">
        <v>738.67</v>
      </c>
      <c r="F100" s="40">
        <v>761.01</v>
      </c>
      <c r="G100" s="40">
        <v>632.48</v>
      </c>
      <c r="H100" s="40">
        <v>607.41999999999996</v>
      </c>
      <c r="I100" s="40">
        <v>70.7</v>
      </c>
      <c r="J100" s="40">
        <v>1251.79</v>
      </c>
      <c r="K100" s="40">
        <v>1054</v>
      </c>
      <c r="L100" s="40">
        <v>561</v>
      </c>
      <c r="M100" s="40">
        <v>584</v>
      </c>
      <c r="N100" s="40">
        <v>548</v>
      </c>
      <c r="O100" s="40">
        <v>-261</v>
      </c>
      <c r="P100" s="41">
        <f>SUM(D100:O100)</f>
        <v>7211.5300000000007</v>
      </c>
      <c r="Q100" s="41">
        <v>8484.5300000000007</v>
      </c>
      <c r="R100" s="40">
        <v>7200</v>
      </c>
      <c r="S100" s="42">
        <v>8196</v>
      </c>
    </row>
    <row r="101" spans="1:19" s="32" customFormat="1" ht="15" customHeight="1" x14ac:dyDescent="0.25">
      <c r="C101" s="43" t="s">
        <v>80</v>
      </c>
      <c r="D101" s="41">
        <f>SUM(D96:D100)</f>
        <v>4474.2299999999996</v>
      </c>
      <c r="E101" s="41">
        <f>SUM(E96:E100)</f>
        <v>3183.5800000000004</v>
      </c>
      <c r="F101" s="41">
        <f>SUM(F96:F100)</f>
        <v>7576.2000000000007</v>
      </c>
      <c r="G101" s="41">
        <f>SUM(G96:G100)</f>
        <v>1135.08</v>
      </c>
      <c r="H101" s="41">
        <f t="shared" ref="H101" si="22">SUM(H96:H100)</f>
        <v>3117.28</v>
      </c>
      <c r="I101" s="41">
        <f>SUM(I96:I100)</f>
        <v>3899.0699999999997</v>
      </c>
      <c r="J101" s="41">
        <f>SUM(J96:J100)</f>
        <v>4195.1000000000004</v>
      </c>
      <c r="K101" s="41">
        <f t="shared" ref="K101:O101" si="23">SUM(K96:K100)</f>
        <v>3888</v>
      </c>
      <c r="L101" s="41">
        <f t="shared" si="23"/>
        <v>4148</v>
      </c>
      <c r="M101" s="41">
        <f t="shared" si="23"/>
        <v>3089</v>
      </c>
      <c r="N101" s="41">
        <f t="shared" si="23"/>
        <v>4098</v>
      </c>
      <c r="O101" s="41">
        <f t="shared" si="23"/>
        <v>2706</v>
      </c>
      <c r="P101" s="41">
        <f>SUM(P96:P100)</f>
        <v>45509.54</v>
      </c>
      <c r="Q101" s="41">
        <v>46917.54</v>
      </c>
      <c r="R101" s="41">
        <f>SUM(R96:R100)</f>
        <v>50000</v>
      </c>
      <c r="S101" s="44">
        <f>SUM(S96:S100)</f>
        <v>46242</v>
      </c>
    </row>
    <row r="102" spans="1:19" s="32" customFormat="1" ht="15" customHeight="1" x14ac:dyDescent="0.25">
      <c r="C102" s="69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4"/>
    </row>
    <row r="103" spans="1:19" s="32" customFormat="1" ht="15" customHeight="1" x14ac:dyDescent="0.25">
      <c r="A103" s="31"/>
      <c r="B103" s="31"/>
      <c r="C103" s="36" t="s">
        <v>81</v>
      </c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6"/>
    </row>
    <row r="104" spans="1:19" s="32" customFormat="1" ht="15" customHeight="1" x14ac:dyDescent="0.25">
      <c r="C104" s="39" t="s">
        <v>82</v>
      </c>
      <c r="D104" s="40">
        <v>753.82</v>
      </c>
      <c r="E104" s="40">
        <v>944.4</v>
      </c>
      <c r="F104" s="40">
        <v>753.82</v>
      </c>
      <c r="G104" s="40">
        <v>980.73</v>
      </c>
      <c r="H104" s="40">
        <v>829.91</v>
      </c>
      <c r="I104" s="40">
        <v>453.86</v>
      </c>
      <c r="J104" s="40">
        <v>499.37</v>
      </c>
      <c r="K104" s="40">
        <v>292</v>
      </c>
      <c r="L104" s="40">
        <v>846</v>
      </c>
      <c r="M104" s="40">
        <v>541</v>
      </c>
      <c r="N104" s="40">
        <v>710</v>
      </c>
      <c r="O104" s="40">
        <v>459</v>
      </c>
      <c r="P104" s="41">
        <f t="shared" ref="P104:P110" si="24">SUM(D104:O104)</f>
        <v>8063.91</v>
      </c>
      <c r="Q104" s="41">
        <v>8104.91</v>
      </c>
      <c r="R104" s="40">
        <v>0</v>
      </c>
      <c r="S104" s="42">
        <v>12340</v>
      </c>
    </row>
    <row r="105" spans="1:19" s="32" customFormat="1" ht="15" customHeight="1" x14ac:dyDescent="0.25">
      <c r="C105" s="39" t="s">
        <v>83</v>
      </c>
      <c r="D105" s="40">
        <v>18259.2</v>
      </c>
      <c r="E105" s="40">
        <v>15330.2</v>
      </c>
      <c r="F105" s="40">
        <v>15330.2</v>
      </c>
      <c r="G105" s="40">
        <v>0</v>
      </c>
      <c r="H105" s="40">
        <v>-48919.6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1">
        <f t="shared" si="24"/>
        <v>7.2759576141834259E-12</v>
      </c>
      <c r="Q105" s="41">
        <v>7.2759576141834259E-12</v>
      </c>
      <c r="R105" s="40">
        <v>0</v>
      </c>
      <c r="S105" s="42">
        <v>2929</v>
      </c>
    </row>
    <row r="106" spans="1:19" s="32" customFormat="1" ht="15" customHeight="1" x14ac:dyDescent="0.25">
      <c r="C106" s="39" t="s">
        <v>84</v>
      </c>
      <c r="D106" s="40">
        <v>0</v>
      </c>
      <c r="E106" s="40">
        <v>0</v>
      </c>
      <c r="F106" s="40">
        <v>8.6999999999999993</v>
      </c>
      <c r="G106" s="40">
        <v>0</v>
      </c>
      <c r="H106" s="40">
        <v>0</v>
      </c>
      <c r="I106" s="40">
        <v>225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1">
        <f t="shared" si="24"/>
        <v>233.7</v>
      </c>
      <c r="Q106" s="41">
        <v>233.7</v>
      </c>
      <c r="R106" s="40">
        <v>0</v>
      </c>
      <c r="S106" s="42">
        <v>20160</v>
      </c>
    </row>
    <row r="107" spans="1:19" s="32" customFormat="1" ht="15" customHeight="1" x14ac:dyDescent="0.25">
      <c r="C107" s="39" t="s">
        <v>85</v>
      </c>
      <c r="D107" s="40">
        <v>0</v>
      </c>
      <c r="E107" s="40">
        <v>313.02999999999997</v>
      </c>
      <c r="F107" s="40">
        <v>10</v>
      </c>
      <c r="G107" s="40">
        <v>240</v>
      </c>
      <c r="H107" s="40">
        <v>201.47</v>
      </c>
      <c r="I107" s="40">
        <v>319.13</v>
      </c>
      <c r="J107" s="40">
        <v>252.17</v>
      </c>
      <c r="K107" s="40">
        <v>21</v>
      </c>
      <c r="L107" s="40">
        <v>1226</v>
      </c>
      <c r="M107" s="40">
        <v>0</v>
      </c>
      <c r="N107" s="40">
        <v>0</v>
      </c>
      <c r="O107" s="40">
        <v>0</v>
      </c>
      <c r="P107" s="41">
        <f t="shared" si="24"/>
        <v>2582.8000000000002</v>
      </c>
      <c r="Q107" s="41">
        <v>2682.8</v>
      </c>
      <c r="R107" s="40">
        <v>0</v>
      </c>
      <c r="S107" s="42">
        <v>2395</v>
      </c>
    </row>
    <row r="108" spans="1:19" s="32" customFormat="1" ht="15" customHeight="1" x14ac:dyDescent="0.25">
      <c r="C108" s="39" t="s">
        <v>94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17436.25</v>
      </c>
      <c r="K108" s="40">
        <v>10254</v>
      </c>
      <c r="L108" s="40">
        <v>10822</v>
      </c>
      <c r="M108" s="40">
        <v>10660</v>
      </c>
      <c r="N108" s="40">
        <v>12951</v>
      </c>
      <c r="O108" s="40">
        <v>16055</v>
      </c>
      <c r="P108" s="41">
        <f t="shared" si="24"/>
        <v>78178.25</v>
      </c>
      <c r="Q108" s="41">
        <v>73123.25</v>
      </c>
      <c r="R108" s="40">
        <v>0</v>
      </c>
      <c r="S108" s="42">
        <v>0</v>
      </c>
    </row>
    <row r="109" spans="1:19" s="32" customFormat="1" ht="15" customHeight="1" x14ac:dyDescent="0.25">
      <c r="C109" s="39" t="s">
        <v>86</v>
      </c>
      <c r="D109" s="40">
        <v>7156.67</v>
      </c>
      <c r="E109" s="40">
        <v>16447.560000000001</v>
      </c>
      <c r="F109" s="40">
        <v>10094.57</v>
      </c>
      <c r="G109" s="40">
        <v>33137.17</v>
      </c>
      <c r="H109" s="40">
        <v>126880.81</v>
      </c>
      <c r="I109" s="40">
        <v>15426.13</v>
      </c>
      <c r="J109" s="40">
        <f>21139.9-4197</f>
        <v>16942.900000000001</v>
      </c>
      <c r="K109" s="40">
        <v>29091</v>
      </c>
      <c r="L109" s="40">
        <v>17949</v>
      </c>
      <c r="M109" s="40">
        <v>24879</v>
      </c>
      <c r="N109" s="40">
        <f>30315-2098</f>
        <v>28217</v>
      </c>
      <c r="O109" s="40">
        <v>14969</v>
      </c>
      <c r="P109" s="41">
        <f t="shared" si="24"/>
        <v>341190.81</v>
      </c>
      <c r="Q109" s="41">
        <v>348319.81</v>
      </c>
      <c r="R109" s="40">
        <v>350000</v>
      </c>
      <c r="S109" s="42">
        <v>367474</v>
      </c>
    </row>
    <row r="110" spans="1:19" s="32" customFormat="1" ht="15" customHeight="1" x14ac:dyDescent="0.25">
      <c r="C110" s="43" t="s">
        <v>87</v>
      </c>
      <c r="D110" s="41">
        <f>SUM(D104:D109)</f>
        <v>26169.690000000002</v>
      </c>
      <c r="E110" s="41">
        <f>SUM(E104:E109)</f>
        <v>33035.19</v>
      </c>
      <c r="F110" s="41">
        <f>SUM(F104:F109)</f>
        <v>26197.29</v>
      </c>
      <c r="G110" s="41">
        <f>SUM(G104:G109)</f>
        <v>34357.9</v>
      </c>
      <c r="H110" s="41">
        <f t="shared" ref="H110" si="25">SUM(H104:H109)</f>
        <v>78992.59</v>
      </c>
      <c r="I110" s="41">
        <f>SUM(I104:I109)</f>
        <v>16424.12</v>
      </c>
      <c r="J110" s="41">
        <f>SUM(J104:J109)</f>
        <v>35130.69</v>
      </c>
      <c r="K110" s="41">
        <f t="shared" ref="K110:O110" si="26">SUM(K104:K109)</f>
        <v>39658</v>
      </c>
      <c r="L110" s="41">
        <f t="shared" si="26"/>
        <v>30843</v>
      </c>
      <c r="M110" s="41">
        <f t="shared" si="26"/>
        <v>36080</v>
      </c>
      <c r="N110" s="41">
        <f t="shared" si="26"/>
        <v>41878</v>
      </c>
      <c r="O110" s="41">
        <f t="shared" si="26"/>
        <v>31483</v>
      </c>
      <c r="P110" s="41">
        <f t="shared" si="24"/>
        <v>430249.47</v>
      </c>
      <c r="Q110" s="41">
        <v>432464.47</v>
      </c>
      <c r="R110" s="41">
        <f>SUM(R104:R109)</f>
        <v>350000</v>
      </c>
      <c r="S110" s="44">
        <f>SUM(S104:S109)</f>
        <v>405298</v>
      </c>
    </row>
    <row r="111" spans="1:19" s="32" customFormat="1" ht="15" customHeight="1" x14ac:dyDescent="0.25">
      <c r="C111" s="69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4"/>
    </row>
    <row r="112" spans="1:19" s="32" customFormat="1" ht="15" customHeight="1" x14ac:dyDescent="0.25">
      <c r="C112" s="69" t="s">
        <v>53</v>
      </c>
      <c r="D112" s="73">
        <f>+D110+D101+D93</f>
        <v>29314.880000000001</v>
      </c>
      <c r="E112" s="73">
        <f>+E110+E101+E93</f>
        <v>52018.720000000001</v>
      </c>
      <c r="F112" s="73">
        <f t="shared" ref="F112:S112" si="27">+F110+F101+F93</f>
        <v>51147.640000000007</v>
      </c>
      <c r="G112" s="73">
        <f t="shared" si="27"/>
        <v>39549.08</v>
      </c>
      <c r="H112" s="73">
        <f t="shared" si="27"/>
        <v>99448.549999999988</v>
      </c>
      <c r="I112" s="73">
        <f t="shared" si="27"/>
        <v>29998.379999999997</v>
      </c>
      <c r="J112" s="73">
        <f t="shared" si="27"/>
        <v>59615.51</v>
      </c>
      <c r="K112" s="73">
        <f t="shared" si="27"/>
        <v>53385</v>
      </c>
      <c r="L112" s="73">
        <f t="shared" si="27"/>
        <v>42292</v>
      </c>
      <c r="M112" s="73">
        <f t="shared" si="27"/>
        <v>43845</v>
      </c>
      <c r="N112" s="73">
        <f t="shared" si="27"/>
        <v>49275</v>
      </c>
      <c r="O112" s="73">
        <f t="shared" si="27"/>
        <v>49333</v>
      </c>
      <c r="P112" s="73">
        <f t="shared" si="27"/>
        <v>599222.75999999989</v>
      </c>
      <c r="Q112" s="73">
        <v>590120.76</v>
      </c>
      <c r="R112" s="73">
        <f t="shared" si="27"/>
        <v>531100</v>
      </c>
      <c r="S112" s="74">
        <f t="shared" si="27"/>
        <v>554953</v>
      </c>
    </row>
    <row r="113" spans="1:19" s="32" customFormat="1" ht="15" customHeight="1" x14ac:dyDescent="0.25">
      <c r="C113" s="69"/>
      <c r="D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4"/>
    </row>
    <row r="114" spans="1:19" s="32" customFormat="1" ht="15" customHeight="1" x14ac:dyDescent="0.25">
      <c r="C114" s="69" t="s">
        <v>156</v>
      </c>
      <c r="D114" s="73">
        <f>+D71-D112</f>
        <v>20463.939999999999</v>
      </c>
      <c r="E114" s="73">
        <f t="shared" ref="E114:S114" si="28">+E71-E112</f>
        <v>-1388.0699999999997</v>
      </c>
      <c r="F114" s="73">
        <f t="shared" si="28"/>
        <v>-12636.44000000001</v>
      </c>
      <c r="G114" s="73">
        <f t="shared" si="28"/>
        <v>-64270.140000000007</v>
      </c>
      <c r="H114" s="73">
        <f t="shared" si="28"/>
        <v>26370.22</v>
      </c>
      <c r="I114" s="73">
        <f t="shared" si="28"/>
        <v>-17698.71</v>
      </c>
      <c r="J114" s="73">
        <f t="shared" si="28"/>
        <v>4959.5099999999948</v>
      </c>
      <c r="K114" s="73">
        <f t="shared" si="28"/>
        <v>-35792</v>
      </c>
      <c r="L114" s="73">
        <f t="shared" si="28"/>
        <v>-26744</v>
      </c>
      <c r="M114" s="73">
        <f t="shared" si="28"/>
        <v>-19748</v>
      </c>
      <c r="N114" s="73">
        <f t="shared" si="28"/>
        <v>-52796</v>
      </c>
      <c r="O114" s="73">
        <f t="shared" si="28"/>
        <v>16952</v>
      </c>
      <c r="P114" s="73">
        <f t="shared" si="28"/>
        <v>-162327.68999999983</v>
      </c>
      <c r="Q114" s="73">
        <v>-140036.68999999994</v>
      </c>
      <c r="R114" s="73">
        <f t="shared" si="28"/>
        <v>9900</v>
      </c>
      <c r="S114" s="74">
        <f t="shared" si="28"/>
        <v>-40532</v>
      </c>
    </row>
    <row r="115" spans="1:19" s="32" customFormat="1" ht="14.5" customHeight="1" x14ac:dyDescent="0.25">
      <c r="C115" s="69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4"/>
    </row>
    <row r="116" spans="1:19" s="32" customFormat="1" ht="15" customHeight="1" x14ac:dyDescent="0.25">
      <c r="A116" s="31"/>
      <c r="B116" s="31"/>
      <c r="C116" s="36" t="s">
        <v>88</v>
      </c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6"/>
    </row>
    <row r="117" spans="1:19" s="32" customFormat="1" ht="15" customHeight="1" x14ac:dyDescent="0.25">
      <c r="C117" s="39" t="s">
        <v>89</v>
      </c>
      <c r="D117" s="40">
        <v>0</v>
      </c>
      <c r="E117" s="40">
        <v>0</v>
      </c>
      <c r="F117" s="40">
        <v>-47688</v>
      </c>
      <c r="G117" s="40">
        <v>0</v>
      </c>
      <c r="H117" s="40">
        <v>0</v>
      </c>
      <c r="I117" s="40">
        <v>-40693</v>
      </c>
      <c r="J117" s="40">
        <v>0</v>
      </c>
      <c r="K117" s="40">
        <v>0</v>
      </c>
      <c r="L117" s="40">
        <v>-43017</v>
      </c>
      <c r="M117" s="40">
        <v>0</v>
      </c>
      <c r="N117" s="40">
        <v>0</v>
      </c>
      <c r="O117" s="40">
        <v>-45589</v>
      </c>
      <c r="P117" s="41">
        <f>SUM(D117:O117)</f>
        <v>-176987</v>
      </c>
      <c r="Q117" s="41">
        <v>-181398</v>
      </c>
      <c r="R117" s="40">
        <v>-100000</v>
      </c>
      <c r="S117" s="42">
        <v>-226594</v>
      </c>
    </row>
    <row r="118" spans="1:19" s="32" customFormat="1" ht="15" customHeight="1" x14ac:dyDescent="0.25">
      <c r="C118" s="39" t="s">
        <v>90</v>
      </c>
      <c r="D118" s="40">
        <v>0</v>
      </c>
      <c r="E118" s="40">
        <v>0</v>
      </c>
      <c r="F118" s="40">
        <v>16352</v>
      </c>
      <c r="G118" s="40">
        <v>0</v>
      </c>
      <c r="H118" s="40">
        <v>0</v>
      </c>
      <c r="I118" s="40">
        <v>21788</v>
      </c>
      <c r="J118" s="40">
        <v>0</v>
      </c>
      <c r="K118" s="40">
        <v>0</v>
      </c>
      <c r="L118" s="40">
        <v>18439</v>
      </c>
      <c r="M118" s="40">
        <v>0</v>
      </c>
      <c r="N118" s="40">
        <v>0</v>
      </c>
      <c r="O118" s="40">
        <v>18789</v>
      </c>
      <c r="P118" s="41">
        <f>SUM(D118:O118)</f>
        <v>75368</v>
      </c>
      <c r="Q118" s="41">
        <v>78579</v>
      </c>
      <c r="R118" s="40">
        <v>40000</v>
      </c>
      <c r="S118" s="42">
        <v>79428</v>
      </c>
    </row>
    <row r="119" spans="1:19" s="32" customFormat="1" ht="15" customHeight="1" x14ac:dyDescent="0.25">
      <c r="C119" s="39" t="s">
        <v>91</v>
      </c>
      <c r="D119" s="40">
        <v>917.38</v>
      </c>
      <c r="E119" s="40">
        <v>917.4</v>
      </c>
      <c r="F119" s="40">
        <v>862.6</v>
      </c>
      <c r="G119" s="40">
        <v>862.62</v>
      </c>
      <c r="H119" s="40">
        <v>862.6</v>
      </c>
      <c r="I119" s="40">
        <v>868.85</v>
      </c>
      <c r="J119" s="40">
        <v>869</v>
      </c>
      <c r="K119" s="40">
        <v>869</v>
      </c>
      <c r="L119" s="40">
        <v>869</v>
      </c>
      <c r="M119" s="40">
        <v>869</v>
      </c>
      <c r="N119" s="40">
        <v>869</v>
      </c>
      <c r="O119" s="40">
        <v>723</v>
      </c>
      <c r="P119" s="41">
        <f>SUM(D119:O119)</f>
        <v>10359.450000000001</v>
      </c>
      <c r="Q119" s="41">
        <v>10498.45</v>
      </c>
      <c r="R119" s="40">
        <v>10800</v>
      </c>
      <c r="S119" s="42">
        <v>9763</v>
      </c>
    </row>
    <row r="120" spans="1:19" s="32" customFormat="1" ht="15" customHeight="1" x14ac:dyDescent="0.25">
      <c r="C120" s="39" t="s">
        <v>92</v>
      </c>
      <c r="D120" s="40">
        <v>1025.25</v>
      </c>
      <c r="E120" s="40">
        <v>1025.24</v>
      </c>
      <c r="F120" s="40">
        <v>1025.27</v>
      </c>
      <c r="G120" s="40">
        <v>1025.25</v>
      </c>
      <c r="H120" s="40">
        <v>1025.25</v>
      </c>
      <c r="I120" s="40">
        <v>1025.24</v>
      </c>
      <c r="J120" s="40">
        <v>1025</v>
      </c>
      <c r="K120" s="40">
        <v>1025</v>
      </c>
      <c r="L120" s="40">
        <v>1025</v>
      </c>
      <c r="M120" s="40">
        <v>1025</v>
      </c>
      <c r="N120" s="40">
        <v>1025</v>
      </c>
      <c r="O120" s="40">
        <v>1025</v>
      </c>
      <c r="P120" s="41">
        <f>SUM(D120:O120)</f>
        <v>12301.5</v>
      </c>
      <c r="Q120" s="41">
        <v>12301.5</v>
      </c>
      <c r="R120" s="40">
        <v>12300</v>
      </c>
      <c r="S120" s="42">
        <v>8269</v>
      </c>
    </row>
    <row r="121" spans="1:19" s="32" customFormat="1" ht="15" customHeight="1" x14ac:dyDescent="0.25">
      <c r="C121" s="79" t="s">
        <v>163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80">
        <v>11062</v>
      </c>
      <c r="P121" s="41">
        <f>SUM(D121:O121)</f>
        <v>11062</v>
      </c>
      <c r="Q121" s="41">
        <v>11000</v>
      </c>
      <c r="R121" s="40">
        <v>0</v>
      </c>
      <c r="S121" s="42">
        <v>4090</v>
      </c>
    </row>
    <row r="122" spans="1:19" s="32" customFormat="1" ht="15" customHeight="1" x14ac:dyDescent="0.25">
      <c r="C122" s="43" t="s">
        <v>93</v>
      </c>
      <c r="D122" s="41">
        <f t="shared" ref="D122:I122" si="29">SUM(D117:D121)</f>
        <v>1942.63</v>
      </c>
      <c r="E122" s="41">
        <f t="shared" si="29"/>
        <v>1942.6399999999999</v>
      </c>
      <c r="F122" s="41">
        <f t="shared" si="29"/>
        <v>-29448.13</v>
      </c>
      <c r="G122" s="41">
        <f t="shared" si="29"/>
        <v>1887.87</v>
      </c>
      <c r="H122" s="41">
        <f t="shared" si="29"/>
        <v>1887.85</v>
      </c>
      <c r="I122" s="41">
        <f t="shared" si="29"/>
        <v>-17010.91</v>
      </c>
      <c r="J122" s="41">
        <f>SUM(J117:J120)</f>
        <v>1894</v>
      </c>
      <c r="K122" s="41">
        <f t="shared" ref="K122:S122" si="30">SUM(K117:K121)</f>
        <v>1894</v>
      </c>
      <c r="L122" s="41">
        <f t="shared" si="30"/>
        <v>-22684</v>
      </c>
      <c r="M122" s="41">
        <f t="shared" si="30"/>
        <v>1894</v>
      </c>
      <c r="N122" s="41">
        <f t="shared" si="30"/>
        <v>1894</v>
      </c>
      <c r="O122" s="41">
        <f t="shared" si="30"/>
        <v>-13990</v>
      </c>
      <c r="P122" s="41">
        <f t="shared" si="30"/>
        <v>-67896.05</v>
      </c>
      <c r="Q122" s="41">
        <v>-69019.05</v>
      </c>
      <c r="R122" s="41">
        <f t="shared" si="30"/>
        <v>-36900</v>
      </c>
      <c r="S122" s="44">
        <f t="shared" si="30"/>
        <v>-125044</v>
      </c>
    </row>
    <row r="123" spans="1:19" s="32" customFormat="1" ht="15" customHeight="1" x14ac:dyDescent="0.3">
      <c r="C123" s="47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9"/>
      <c r="Q123" s="49"/>
      <c r="R123" s="48"/>
      <c r="S123" s="50"/>
    </row>
    <row r="124" spans="1:19" s="32" customFormat="1" ht="15" customHeight="1" x14ac:dyDescent="0.25">
      <c r="C124" s="53" t="s">
        <v>95</v>
      </c>
      <c r="D124" s="54">
        <f>+D114-D122</f>
        <v>18521.309999999998</v>
      </c>
      <c r="E124" s="54">
        <f t="shared" ref="E124:S124" si="31">+E114-E122</f>
        <v>-3330.7099999999996</v>
      </c>
      <c r="F124" s="54">
        <f t="shared" si="31"/>
        <v>16811.689999999991</v>
      </c>
      <c r="G124" s="54">
        <f t="shared" si="31"/>
        <v>-66158.010000000009</v>
      </c>
      <c r="H124" s="54">
        <f t="shared" si="31"/>
        <v>24482.370000000003</v>
      </c>
      <c r="I124" s="54">
        <f t="shared" si="31"/>
        <v>-687.79999999999927</v>
      </c>
      <c r="J124" s="54">
        <f t="shared" si="31"/>
        <v>3065.5099999999948</v>
      </c>
      <c r="K124" s="78">
        <f t="shared" si="31"/>
        <v>-37686</v>
      </c>
      <c r="L124" s="54">
        <f t="shared" si="31"/>
        <v>-4060</v>
      </c>
      <c r="M124" s="54">
        <f t="shared" si="31"/>
        <v>-21642</v>
      </c>
      <c r="N124" s="54">
        <f t="shared" si="31"/>
        <v>-54690</v>
      </c>
      <c r="O124" s="54">
        <f t="shared" si="31"/>
        <v>30942</v>
      </c>
      <c r="P124" s="54">
        <f t="shared" si="31"/>
        <v>-94431.639999999825</v>
      </c>
      <c r="Q124" s="54">
        <v>-71017.639999999941</v>
      </c>
      <c r="R124" s="54">
        <f t="shared" si="31"/>
        <v>46800</v>
      </c>
      <c r="S124" s="55">
        <f t="shared" si="31"/>
        <v>84512</v>
      </c>
    </row>
    <row r="125" spans="1:19" x14ac:dyDescent="0.3">
      <c r="C125" s="57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9"/>
      <c r="Q125" s="59"/>
      <c r="R125" s="58"/>
      <c r="S125" s="60"/>
    </row>
    <row r="126" spans="1:19" x14ac:dyDescent="0.3">
      <c r="C126" s="61" t="s">
        <v>146</v>
      </c>
      <c r="S126" s="62"/>
    </row>
    <row r="127" spans="1:19" x14ac:dyDescent="0.3">
      <c r="C127" s="61" t="s">
        <v>16</v>
      </c>
      <c r="S127" s="62"/>
    </row>
    <row r="128" spans="1:19" x14ac:dyDescent="0.3">
      <c r="C128" s="63" t="s">
        <v>147</v>
      </c>
      <c r="O128" s="64">
        <v>28800</v>
      </c>
      <c r="S128" s="62"/>
    </row>
    <row r="129" spans="3:19" x14ac:dyDescent="0.3">
      <c r="C129" s="63" t="s">
        <v>148</v>
      </c>
      <c r="O129" s="64">
        <v>30000</v>
      </c>
      <c r="S129" s="62"/>
    </row>
    <row r="130" spans="3:19" x14ac:dyDescent="0.3">
      <c r="C130" s="63"/>
      <c r="O130" s="71">
        <f>SUM(O128:O129)</f>
        <v>58800</v>
      </c>
      <c r="S130" s="62"/>
    </row>
    <row r="131" spans="3:19" x14ac:dyDescent="0.3">
      <c r="C131" s="61" t="s">
        <v>149</v>
      </c>
      <c r="O131" s="64"/>
      <c r="S131" s="62"/>
    </row>
    <row r="132" spans="3:19" x14ac:dyDescent="0.3">
      <c r="C132" s="70" t="s">
        <v>153</v>
      </c>
      <c r="K132" s="64">
        <v>5000</v>
      </c>
      <c r="O132" s="64"/>
      <c r="S132" s="62"/>
    </row>
    <row r="133" spans="3:19" x14ac:dyDescent="0.3">
      <c r="C133" s="70" t="s">
        <v>150</v>
      </c>
      <c r="K133" s="64">
        <v>6939</v>
      </c>
      <c r="L133" s="64"/>
      <c r="O133" s="64"/>
      <c r="S133" s="62"/>
    </row>
    <row r="134" spans="3:19" x14ac:dyDescent="0.3">
      <c r="C134" s="70" t="s">
        <v>151</v>
      </c>
      <c r="K134" s="64">
        <v>23650</v>
      </c>
      <c r="O134" s="64"/>
      <c r="S134" s="62"/>
    </row>
    <row r="135" spans="3:19" x14ac:dyDescent="0.3">
      <c r="C135" s="70" t="s">
        <v>152</v>
      </c>
      <c r="L135" s="64">
        <v>21300</v>
      </c>
      <c r="O135" s="64"/>
      <c r="S135" s="62"/>
    </row>
    <row r="136" spans="3:19" x14ac:dyDescent="0.3">
      <c r="C136" s="70"/>
      <c r="L136" s="64"/>
      <c r="O136" s="64"/>
      <c r="S136" s="62"/>
    </row>
    <row r="137" spans="3:19" x14ac:dyDescent="0.3">
      <c r="C137" s="63"/>
      <c r="K137" s="71">
        <f>SUM(K132:K135)</f>
        <v>35589</v>
      </c>
      <c r="L137" s="71">
        <f>SUM(L133:L135)</f>
        <v>21300</v>
      </c>
      <c r="O137" s="64"/>
      <c r="S137" s="62"/>
    </row>
    <row r="138" spans="3:19" x14ac:dyDescent="0.3">
      <c r="C138" s="63"/>
      <c r="L138" s="64"/>
      <c r="O138" s="64"/>
      <c r="S138" s="62"/>
    </row>
    <row r="139" spans="3:19" x14ac:dyDescent="0.3">
      <c r="C139" s="70" t="s">
        <v>154</v>
      </c>
      <c r="K139" s="64">
        <v>20630</v>
      </c>
      <c r="O139" s="64"/>
      <c r="S139" s="62"/>
    </row>
    <row r="140" spans="3:19" x14ac:dyDescent="0.3">
      <c r="C140" s="70" t="s">
        <v>155</v>
      </c>
      <c r="K140" s="64">
        <v>29700</v>
      </c>
      <c r="O140" s="64"/>
      <c r="S140" s="62"/>
    </row>
    <row r="141" spans="3:19" x14ac:dyDescent="0.3">
      <c r="C141" s="70" t="s">
        <v>162</v>
      </c>
      <c r="K141" s="64"/>
      <c r="M141" s="64">
        <v>46528</v>
      </c>
      <c r="O141" s="64"/>
      <c r="S141" s="62"/>
    </row>
    <row r="142" spans="3:19" x14ac:dyDescent="0.3">
      <c r="C142" s="63"/>
      <c r="K142" s="72">
        <f>SUM(K139:K140)</f>
        <v>50330</v>
      </c>
      <c r="M142" s="71">
        <f>+M141</f>
        <v>46528</v>
      </c>
      <c r="O142" s="64"/>
      <c r="S142" s="62"/>
    </row>
    <row r="143" spans="3:19" x14ac:dyDescent="0.3">
      <c r="C143" s="65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7"/>
      <c r="Q143" s="67"/>
      <c r="R143" s="66"/>
      <c r="S143" s="68"/>
    </row>
  </sheetData>
  <pageMargins left="0.11811023622047245" right="0.11811023622047245" top="0.59055118110236227" bottom="0.15748031496062992" header="0.31496062992125984" footer="0.31496062992125984"/>
  <pageSetup paperSize="8" scale="89" fitToHeight="0" orientation="landscape" r:id="rId1"/>
  <rowBreaks count="2" manualBreakCount="2">
    <brk id="38" min="2" max="18" man="1"/>
    <brk id="94" min="2" max="1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4DC39F682F54C84276EEAD2D0B9B2" ma:contentTypeVersion="18" ma:contentTypeDescription="Create a new document." ma:contentTypeScope="" ma:versionID="935c135a4a75503f58446a0a7a8fe9c9">
  <xsd:schema xmlns:xsd="http://www.w3.org/2001/XMLSchema" xmlns:xs="http://www.w3.org/2001/XMLSchema" xmlns:p="http://schemas.microsoft.com/office/2006/metadata/properties" xmlns:ns2="9181c003-f2b1-4339-a9a2-1fb35a01445e" xmlns:ns3="93ce42bb-de20-4d89-b28f-cc448c3034a8" targetNamespace="http://schemas.microsoft.com/office/2006/metadata/properties" ma:root="true" ma:fieldsID="7d8af7361138b9fa38b1981992e57f04" ns2:_="" ns3:_="">
    <xsd:import namespace="9181c003-f2b1-4339-a9a2-1fb35a01445e"/>
    <xsd:import namespace="93ce42bb-de20-4d89-b28f-cc448c3034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1c003-f2b1-4339-a9a2-1fb35a0144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894e3fb-4fab-4e7c-93ba-dbebdbb13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e42bb-de20-4d89-b28f-cc448c3034a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2b8b1f-e95d-42ce-b77d-c8670f2702c7}" ma:internalName="TaxCatchAll" ma:showField="CatchAllData" ma:web="93ce42bb-de20-4d89-b28f-cc448c3034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ce42bb-de20-4d89-b28f-cc448c3034a8" xsi:nil="true"/>
    <lcf76f155ced4ddcb4097134ff3c332f xmlns="9181c003-f2b1-4339-a9a2-1fb35a0144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32D135-F8A4-439B-8FCF-87158BA270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945E82-C9D0-457F-B603-A9390E38D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1c003-f2b1-4339-a9a2-1fb35a01445e"/>
    <ds:schemaRef ds:uri="93ce42bb-de20-4d89-b28f-cc448c303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CD8D06-4698-4FD1-BB14-C7AB1B20D4E2}">
  <ds:schemaRefs>
    <ds:schemaRef ds:uri="http://purl.org/dc/elements/1.1/"/>
    <ds:schemaRef ds:uri="http://schemas.microsoft.com/office/2006/metadata/properties"/>
    <ds:schemaRef ds:uri="9181c003-f2b1-4339-a9a2-1fb35a01445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3ce42bb-de20-4d89-b28f-cc448c3034a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Budget 24-25 Monthly</vt:lpstr>
      <vt:lpstr>Budget 24-25 Summary</vt:lpstr>
      <vt:lpstr>Events 2019-2020</vt:lpstr>
      <vt:lpstr>CAPEX Budget</vt:lpstr>
      <vt:lpstr>Staff 24-25</vt:lpstr>
      <vt:lpstr>FY2021</vt:lpstr>
      <vt:lpstr>Year End 2021 FCast</vt:lpstr>
      <vt:lpstr>'Budget 24-25 Monthly'!Print_Area</vt:lpstr>
      <vt:lpstr>'Budget 24-25 Summary'!Print_Area</vt:lpstr>
      <vt:lpstr>'CAPEX Budget'!Print_Area</vt:lpstr>
      <vt:lpstr>'Events 2019-2020'!Print_Area</vt:lpstr>
      <vt:lpstr>'FY2021'!Print_Area</vt:lpstr>
      <vt:lpstr>'Year End 2021 FCast'!Print_Area</vt:lpstr>
      <vt:lpstr>'Budget 24-25 Monthly'!Print_Titles</vt:lpstr>
      <vt:lpstr>'Budget 24-25 Summary'!Print_Titles</vt:lpstr>
      <vt:lpstr>'FY2021'!Print_Titles</vt:lpstr>
      <vt:lpstr>'Year End 2021 FCast'!Print_Titles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2023-06-12T03:49:31Z</dcterms:created>
  <dcterms:modified xsi:type="dcterms:W3CDTF">2024-06-20T03:30:04Z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0x010100F924DC39F682F54C84276EEAD2D0B9B2</vt:lpwstr>
  </property>
</Properties>
</file>